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1" fillId="0" borderId="0" pivotButton="0" quotePrefix="0" xfId="0"/>
    <xf numFmtId="0" fontId="26"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7" fillId="0" borderId="0" pivotButton="0" quotePrefix="0" xfId="0"/>
    <xf numFmtId="0" fontId="13" fillId="4" borderId="2" pivotButton="0" quotePrefix="0" xfId="0"/>
    <xf numFmtId="0" fontId="26"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7"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6"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5" fillId="0" borderId="0" pivotButton="0" quotePrefix="0" xfId="0"/>
    <xf numFmtId="0" fontId="12" fillId="0" borderId="0" applyAlignment="1" pivotButton="0" quotePrefix="0" xfId="0">
      <alignment horizontal="left" vertical="top" wrapText="1"/>
    </xf>
    <xf numFmtId="0" fontId="30"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Workers Comp</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Workers Comp</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24000</v>
      </c>
      <c r="M7" s="49" t="n"/>
      <c r="N7" s="54" t="n">
        <v>1</v>
      </c>
      <c r="O7" s="13" t="inlineStr"/>
      <c r="P7" s="11" t="inlineStr">
        <is>
          <t>ON</t>
        </is>
      </c>
      <c r="Q7" s="49" t="n"/>
      <c r="R7" s="49" t="n"/>
      <c r="T7" s="55">
        <f>IF(OR($A7="",$B7=""),"",$A7&amp;"|"&amp;$B7)</f>
        <v/>
      </c>
    </row>
    <row r="8">
      <c r="A8" s="11" t="inlineStr">
        <is>
          <t>BU-A</t>
        </is>
      </c>
      <c r="B8" s="11" t="inlineStr">
        <is>
          <t>CA</t>
        </is>
      </c>
      <c r="C8" s="28" t="n">
        <v>0.608</v>
      </c>
      <c r="D8" s="11" t="inlineStr">
        <is>
          <t>current</t>
        </is>
      </c>
      <c r="E8" s="49" t="n">
        <v>0.05</v>
      </c>
      <c r="F8" s="50" t="n">
        <v>0.9</v>
      </c>
      <c r="G8" s="50" t="n">
        <v>0.89</v>
      </c>
      <c r="H8" s="51" t="n">
        <v>46295</v>
      </c>
      <c r="I8" s="50" t="n">
        <v>0.895</v>
      </c>
      <c r="J8" s="52" t="n"/>
      <c r="K8" s="52" t="n"/>
      <c r="L8" s="53" t="n">
        <v>63000</v>
      </c>
      <c r="M8" s="49" t="n"/>
      <c r="N8" s="54" t="n">
        <v>1</v>
      </c>
      <c r="O8" s="13" t="inlineStr"/>
      <c r="P8" s="11" t="inlineStr">
        <is>
          <t>ON</t>
        </is>
      </c>
      <c r="Q8" s="49" t="n"/>
      <c r="R8" s="49" t="n"/>
      <c r="T8" s="55">
        <f>IF(OR($A8="",$B8=""),"",$A8&amp;"|"&amp;$B8)</f>
        <v/>
      </c>
    </row>
    <row r="9">
      <c r="A9" s="11" t="inlineStr">
        <is>
          <t>BU-A</t>
        </is>
      </c>
      <c r="B9" s="11" t="inlineStr">
        <is>
          <t>CO</t>
        </is>
      </c>
      <c r="C9" s="28" t="n">
        <v>0.592</v>
      </c>
      <c r="D9" s="11" t="inlineStr">
        <is>
          <t>current</t>
        </is>
      </c>
      <c r="E9" s="49" t="n">
        <v>0.05</v>
      </c>
      <c r="F9" s="50" t="n">
        <v>0.9</v>
      </c>
      <c r="G9" s="50" t="n">
        <v>0.89</v>
      </c>
      <c r="H9" s="51" t="n">
        <v>46295</v>
      </c>
      <c r="I9" s="50" t="n">
        <v>0.91</v>
      </c>
      <c r="J9" s="52" t="n"/>
      <c r="K9" s="52" t="n"/>
      <c r="L9" s="53" t="n">
        <v>51000</v>
      </c>
      <c r="M9" s="49" t="n"/>
      <c r="N9" s="54" t="n">
        <v>1</v>
      </c>
      <c r="O9" s="13" t="inlineStr"/>
      <c r="P9" s="11" t="inlineStr">
        <is>
          <t>ON</t>
        </is>
      </c>
      <c r="Q9" s="49" t="n"/>
      <c r="R9" s="49" t="n"/>
      <c r="T9" s="55">
        <f>IF(OR($A9="",$B9=""),"",$A9&amp;"|"&amp;$B9)</f>
        <v/>
      </c>
    </row>
    <row r="10">
      <c r="A10" s="11" t="inlineStr">
        <is>
          <t>BU-A</t>
        </is>
      </c>
      <c r="B10" s="11" t="inlineStr">
        <is>
          <t>CT</t>
        </is>
      </c>
      <c r="C10" s="28" t="n">
        <v>0.62</v>
      </c>
      <c r="D10" s="11" t="inlineStr">
        <is>
          <t>current</t>
        </is>
      </c>
      <c r="E10" s="49" t="n">
        <v>0.05</v>
      </c>
      <c r="F10" s="50" t="n">
        <v>0.9</v>
      </c>
      <c r="G10" s="50" t="n">
        <v>0.9</v>
      </c>
      <c r="H10" s="51" t="n">
        <v>46295</v>
      </c>
      <c r="I10" s="50" t="n">
        <v>0.9</v>
      </c>
      <c r="J10" s="52" t="n"/>
      <c r="K10" s="52" t="n"/>
      <c r="L10" s="53" t="n">
        <v>39000</v>
      </c>
      <c r="M10" s="49" t="n"/>
      <c r="N10" s="54" t="n">
        <v>1</v>
      </c>
      <c r="O10" s="13" t="inlineStr"/>
      <c r="P10" s="11" t="inlineStr">
        <is>
          <t>OFF</t>
        </is>
      </c>
      <c r="Q10" s="49" t="n"/>
      <c r="R10" s="49" t="n"/>
      <c r="T10" s="55">
        <f>IF(OR($A10="",$B10=""),"",$A10&amp;"|"&amp;$B10)</f>
        <v/>
      </c>
    </row>
    <row r="11">
      <c r="A11" s="11" t="inlineStr">
        <is>
          <t>BU-A</t>
        </is>
      </c>
      <c r="B11" s="11" t="inlineStr">
        <is>
          <t>FL</t>
        </is>
      </c>
      <c r="C11" s="28" t="n">
        <v>0.604</v>
      </c>
      <c r="D11" s="11" t="inlineStr">
        <is>
          <t>current</t>
        </is>
      </c>
      <c r="E11" s="49" t="n">
        <v>0.05</v>
      </c>
      <c r="F11" s="50" t="n">
        <v>0.9</v>
      </c>
      <c r="G11" s="50" t="n">
        <v>0.89</v>
      </c>
      <c r="H11" s="51" t="n">
        <v>46295</v>
      </c>
      <c r="I11" s="50" t="n">
        <v>0.905</v>
      </c>
      <c r="J11" s="52" t="n"/>
      <c r="K11" s="52" t="n"/>
      <c r="L11" s="53" t="n">
        <v>27000</v>
      </c>
      <c r="M11" s="49" t="n"/>
      <c r="N11" s="54" t="n">
        <v>1</v>
      </c>
      <c r="O11" s="13" t="inlineStr"/>
      <c r="P11" s="11" t="inlineStr">
        <is>
          <t>ON</t>
        </is>
      </c>
      <c r="Q11" s="49" t="n"/>
      <c r="R11" s="49" t="n"/>
      <c r="T11" s="55">
        <f>IF(OR($A11="",$B11=""),"",$A11&amp;"|"&amp;$B11)</f>
        <v/>
      </c>
    </row>
    <row r="12">
      <c r="A12" s="11" t="inlineStr">
        <is>
          <t>BU-A</t>
        </is>
      </c>
      <c r="B12" s="11" t="inlineStr">
        <is>
          <t>GA</t>
        </is>
      </c>
      <c r="C12" s="28" t="n">
        <v>0.588</v>
      </c>
      <c r="D12" s="11" t="inlineStr">
        <is>
          <t>current</t>
        </is>
      </c>
      <c r="E12" s="49" t="n">
        <v>0.05</v>
      </c>
      <c r="F12" s="50" t="n">
        <v>0.9</v>
      </c>
      <c r="G12" s="50" t="n">
        <v>0.89</v>
      </c>
      <c r="H12" s="51" t="n">
        <v>46295</v>
      </c>
      <c r="I12" s="50" t="n">
        <v>0.885</v>
      </c>
      <c r="J12" s="52" t="n">
        <v>0.88</v>
      </c>
      <c r="K12" s="52" t="n">
        <v>0.89</v>
      </c>
      <c r="L12" s="53" t="n">
        <v>66000</v>
      </c>
      <c r="M12" s="49" t="n"/>
      <c r="N12" s="54" t="n">
        <v>1</v>
      </c>
      <c r="O12" s="13" t="inlineStr"/>
      <c r="P12" s="11" t="inlineStr">
        <is>
          <t>ON</t>
        </is>
      </c>
      <c r="Q12" s="49" t="n"/>
      <c r="R12" s="49" t="n"/>
      <c r="T12" s="55">
        <f>IF(OR($A12="",$B12=""),"",$A12&amp;"|"&amp;$B12)</f>
        <v/>
      </c>
    </row>
    <row r="13">
      <c r="A13" s="11" t="inlineStr">
        <is>
          <t>BU-A</t>
        </is>
      </c>
      <c r="B13" s="11" t="inlineStr">
        <is>
          <t>IL</t>
        </is>
      </c>
      <c r="C13" s="28" t="n">
        <v>0.616</v>
      </c>
      <c r="D13" s="11" t="inlineStr">
        <is>
          <t>current</t>
        </is>
      </c>
      <c r="E13" s="49" t="n">
        <v>0.05</v>
      </c>
      <c r="F13" s="50" t="n">
        <v>0.9</v>
      </c>
      <c r="G13" s="50" t="n">
        <v>0.89</v>
      </c>
      <c r="H13" s="51" t="n">
        <v>46295</v>
      </c>
      <c r="I13" s="50" t="n">
        <v>0.9</v>
      </c>
      <c r="J13" s="52" t="n"/>
      <c r="K13" s="52" t="n"/>
      <c r="L13" s="53" t="n">
        <v>54000</v>
      </c>
      <c r="M13" s="49" t="n"/>
      <c r="N13" s="54" t="n">
        <v>1</v>
      </c>
      <c r="O13" s="13" t="inlineStr"/>
      <c r="P13" s="11" t="inlineStr">
        <is>
          <t>ON</t>
        </is>
      </c>
      <c r="Q13" s="49" t="n"/>
      <c r="R13" s="49" t="n"/>
      <c r="T13" s="55">
        <f>IF(OR($A13="",$B13=""),"",$A13&amp;"|"&amp;$B13)</f>
        <v/>
      </c>
    </row>
    <row r="14">
      <c r="A14" s="11" t="inlineStr">
        <is>
          <t>BU-A</t>
        </is>
      </c>
      <c r="B14" s="11" t="inlineStr">
        <is>
          <t>IN</t>
        </is>
      </c>
      <c r="C14" s="28" t="n">
        <v>0.6</v>
      </c>
      <c r="D14" s="11" t="inlineStr">
        <is>
          <t>current</t>
        </is>
      </c>
      <c r="E14" s="49" t="n">
        <v>0.05</v>
      </c>
      <c r="F14" s="50" t="n">
        <v>0.9</v>
      </c>
      <c r="G14" s="50" t="n">
        <v>0.89</v>
      </c>
      <c r="H14" s="51" t="n">
        <v>46295</v>
      </c>
      <c r="I14" s="50" t="n">
        <v>0.88</v>
      </c>
      <c r="J14" s="52" t="n"/>
      <c r="K14" s="52" t="n"/>
      <c r="L14" s="53" t="n">
        <v>42000</v>
      </c>
      <c r="M14" s="49" t="n"/>
      <c r="N14" s="54" t="n">
        <v>1</v>
      </c>
      <c r="O14" s="13" t="inlineStr"/>
      <c r="P14" s="11" t="inlineStr">
        <is>
          <t>ON</t>
        </is>
      </c>
      <c r="Q14" s="49" t="n"/>
      <c r="R14" s="49" t="n"/>
      <c r="T14" s="55">
        <f>IF(OR($A14="",$B14=""),"",$A14&amp;"|"&amp;$B14)</f>
        <v/>
      </c>
    </row>
    <row r="15">
      <c r="A15" s="11" t="inlineStr">
        <is>
          <t>BU-A</t>
        </is>
      </c>
      <c r="B15" s="11" t="inlineStr">
        <is>
          <t>IA</t>
        </is>
      </c>
      <c r="C15" s="28" t="n">
        <v>0.584</v>
      </c>
      <c r="D15" s="11" t="inlineStr">
        <is>
          <t>current</t>
        </is>
      </c>
      <c r="E15" s="49" t="n">
        <v>0.05</v>
      </c>
      <c r="F15" s="50" t="n">
        <v>0.9</v>
      </c>
      <c r="G15" s="50" t="n">
        <v>0.89</v>
      </c>
      <c r="H15" s="51" t="n">
        <v>46295</v>
      </c>
      <c r="I15" s="50" t="n">
        <v>0.895</v>
      </c>
      <c r="J15" s="52" t="n"/>
      <c r="K15" s="52" t="n"/>
      <c r="L15" s="53" t="n">
        <v>30000</v>
      </c>
      <c r="M15" s="49" t="n"/>
      <c r="N15" s="54" t="n">
        <v>1</v>
      </c>
      <c r="O15" s="13" t="inlineStr"/>
      <c r="P15" s="11" t="inlineStr">
        <is>
          <t>ON</t>
        </is>
      </c>
      <c r="Q15" s="49" t="n"/>
      <c r="R15" s="49" t="n"/>
      <c r="T15" s="55">
        <f>IF(OR($A15="",$B15=""),"",$A15&amp;"|"&amp;$B15)</f>
        <v/>
      </c>
    </row>
    <row r="16">
      <c r="A16" s="11" t="inlineStr">
        <is>
          <t>BU-A</t>
        </is>
      </c>
      <c r="B16" s="11" t="inlineStr">
        <is>
          <t>KY</t>
        </is>
      </c>
      <c r="C16" s="28" t="n">
        <v>0.612</v>
      </c>
      <c r="D16" s="11" t="inlineStr">
        <is>
          <t>current</t>
        </is>
      </c>
      <c r="E16" s="49" t="n">
        <v>0.05</v>
      </c>
      <c r="F16" s="50" t="n">
        <v>0.9</v>
      </c>
      <c r="G16" s="50" t="n">
        <v>0.89</v>
      </c>
      <c r="H16" s="51" t="n">
        <v>46295</v>
      </c>
      <c r="I16" s="50" t="n">
        <v>0.91</v>
      </c>
      <c r="J16" s="52" t="n"/>
      <c r="K16" s="52" t="n"/>
      <c r="L16" s="53" t="n">
        <v>69000</v>
      </c>
      <c r="M16" s="49" t="n"/>
      <c r="N16" s="54" t="n">
        <v>1</v>
      </c>
      <c r="O16" s="13" t="inlineStr"/>
      <c r="P16" s="11" t="inlineStr">
        <is>
          <t>ON</t>
        </is>
      </c>
      <c r="Q16" s="49" t="n"/>
      <c r="R16" s="49" t="n"/>
      <c r="T16" s="55">
        <f>IF(OR($A16="",$B16=""),"",$A16&amp;"|"&amp;$B16)</f>
        <v/>
      </c>
    </row>
    <row r="17">
      <c r="A17" s="11" t="inlineStr">
        <is>
          <t>BU-A</t>
        </is>
      </c>
      <c r="B17" s="11" t="inlineStr">
        <is>
          <t>MD</t>
        </is>
      </c>
      <c r="C17" s="28" t="n">
        <v>0.596</v>
      </c>
      <c r="D17" s="11" t="inlineStr">
        <is>
          <t>current</t>
        </is>
      </c>
      <c r="E17" s="49" t="n">
        <v>0.05</v>
      </c>
      <c r="F17" s="50" t="n">
        <v>0.9</v>
      </c>
      <c r="G17" s="50" t="n">
        <v>0.89</v>
      </c>
      <c r="H17" s="51" t="n">
        <v>46295</v>
      </c>
      <c r="I17" s="50" t="n">
        <v>0.89</v>
      </c>
      <c r="J17" s="52" t="n"/>
      <c r="K17" s="52" t="n"/>
      <c r="L17" s="53" t="n">
        <v>57000</v>
      </c>
      <c r="M17" s="49" t="n"/>
      <c r="N17" s="54" t="n">
        <v>1</v>
      </c>
      <c r="O17" s="13" t="inlineStr"/>
      <c r="P17" s="11" t="inlineStr">
        <is>
          <t>ON</t>
        </is>
      </c>
      <c r="Q17" s="49" t="n"/>
      <c r="R17" s="49" t="n"/>
      <c r="T17" s="55">
        <f>IF(OR($A17="",$B17=""),"",$A17&amp;"|"&amp;$B17)</f>
        <v/>
      </c>
    </row>
    <row r="18">
      <c r="A18" s="11" t="inlineStr">
        <is>
          <t>BU-A</t>
        </is>
      </c>
      <c r="B18" s="11" t="inlineStr">
        <is>
          <t>MI</t>
        </is>
      </c>
      <c r="C18" s="28" t="n">
        <v>0.58</v>
      </c>
      <c r="D18" s="11" t="inlineStr">
        <is>
          <t>current</t>
        </is>
      </c>
      <c r="E18" s="49" t="n">
        <v>0.05</v>
      </c>
      <c r="F18" s="50" t="n">
        <v>0.9</v>
      </c>
      <c r="G18" s="50" t="n">
        <v>0.89</v>
      </c>
      <c r="H18" s="51" t="n">
        <v>46295</v>
      </c>
      <c r="I18" s="50" t="n">
        <v>0.905</v>
      </c>
      <c r="J18" s="52" t="n"/>
      <c r="K18" s="52" t="n"/>
      <c r="L18" s="53" t="n">
        <v>45000</v>
      </c>
      <c r="M18" s="49" t="n"/>
      <c r="N18" s="54" t="n">
        <v>1</v>
      </c>
      <c r="O18" s="13" t="inlineStr"/>
      <c r="P18" s="11" t="inlineStr">
        <is>
          <t>ON</t>
        </is>
      </c>
      <c r="Q18" s="49" t="n"/>
      <c r="R18" s="49" t="n"/>
      <c r="T18" s="55">
        <f>IF(OR($A18="",$B18=""),"",$A18&amp;"|"&amp;$B18)</f>
        <v/>
      </c>
    </row>
    <row r="19">
      <c r="A19" s="11" t="inlineStr">
        <is>
          <t>BU-A</t>
        </is>
      </c>
      <c r="B19" s="11" t="inlineStr">
        <is>
          <t>MN</t>
        </is>
      </c>
      <c r="C19" s="28" t="n">
        <v>0.608</v>
      </c>
      <c r="D19" s="11" t="inlineStr">
        <is>
          <t>current</t>
        </is>
      </c>
      <c r="E19" s="49" t="n">
        <v>0.05</v>
      </c>
      <c r="F19" s="50" t="n">
        <v>0.9</v>
      </c>
      <c r="G19" s="50" t="n">
        <v>0.89</v>
      </c>
      <c r="H19" s="51" t="n">
        <v>46295</v>
      </c>
      <c r="I19" s="50" t="n">
        <v>0.885</v>
      </c>
      <c r="J19" s="52" t="n"/>
      <c r="K19" s="52" t="n"/>
      <c r="L19" s="53" t="n">
        <v>33000</v>
      </c>
      <c r="M19" s="49" t="n"/>
      <c r="N19" s="54" t="n">
        <v>1</v>
      </c>
      <c r="O19" s="13" t="inlineStr"/>
      <c r="P19" s="11" t="inlineStr">
        <is>
          <t>ON</t>
        </is>
      </c>
      <c r="Q19" s="49" t="n"/>
      <c r="R19" s="49" t="n"/>
      <c r="T19" s="55">
        <f>IF(OR($A19="",$B19=""),"",$A19&amp;"|"&amp;$B19)</f>
        <v/>
      </c>
    </row>
    <row r="20">
      <c r="A20" s="11" t="inlineStr">
        <is>
          <t>BU-A</t>
        </is>
      </c>
      <c r="B20" s="11" t="inlineStr">
        <is>
          <t>MO</t>
        </is>
      </c>
      <c r="C20" s="28" t="n">
        <v>0.592</v>
      </c>
      <c r="D20" s="11" t="inlineStr">
        <is>
          <t>current</t>
        </is>
      </c>
      <c r="E20" s="49" t="n">
        <v>0.05</v>
      </c>
      <c r="F20" s="50" t="n">
        <v>0.9</v>
      </c>
      <c r="G20" s="50" t="n">
        <v>0.89</v>
      </c>
      <c r="H20" s="51" t="n">
        <v>46295</v>
      </c>
      <c r="I20" s="50" t="n">
        <v>0.9</v>
      </c>
      <c r="J20" s="52" t="n"/>
      <c r="K20" s="52" t="n"/>
      <c r="L20" s="53" t="n">
        <v>72000</v>
      </c>
      <c r="M20" s="49" t="n"/>
      <c r="N20" s="54" t="n">
        <v>1</v>
      </c>
      <c r="O20" s="13" t="inlineStr"/>
      <c r="P20" s="11" t="inlineStr">
        <is>
          <t>ON</t>
        </is>
      </c>
      <c r="Q20" s="49" t="n"/>
      <c r="R20" s="49" t="n"/>
      <c r="T20" s="55">
        <f>IF(OR($A20="",$B20=""),"",$A20&amp;"|"&amp;$B20)</f>
        <v/>
      </c>
    </row>
    <row r="21">
      <c r="A21" s="11" t="inlineStr">
        <is>
          <t>BU-A</t>
        </is>
      </c>
      <c r="B21" s="11" t="inlineStr">
        <is>
          <t>NC</t>
        </is>
      </c>
      <c r="C21" s="28" t="n">
        <v>0.62</v>
      </c>
      <c r="D21" s="11" t="inlineStr">
        <is>
          <t>current</t>
        </is>
      </c>
      <c r="E21" s="49" t="n">
        <v>0.05</v>
      </c>
      <c r="F21" s="50" t="n">
        <v>0.9</v>
      </c>
      <c r="G21" s="50" t="n">
        <v>0.89</v>
      </c>
      <c r="H21" s="51" t="n">
        <v>46295</v>
      </c>
      <c r="I21" s="50" t="n">
        <v>0.88</v>
      </c>
      <c r="J21" s="52" t="n"/>
      <c r="K21" s="52" t="n"/>
      <c r="L21" s="53" t="n">
        <v>60000</v>
      </c>
      <c r="M21" s="49" t="n"/>
      <c r="N21" s="54" t="n">
        <v>1</v>
      </c>
      <c r="O21" s="13" t="inlineStr"/>
      <c r="P21" s="11" t="inlineStr">
        <is>
          <t>ON</t>
        </is>
      </c>
      <c r="Q21" s="49" t="n"/>
      <c r="R21" s="49" t="n"/>
      <c r="T21" s="55">
        <f>IF(OR($A21="",$B21=""),"",$A21&amp;"|"&amp;$B21)</f>
        <v/>
      </c>
    </row>
    <row r="22">
      <c r="A22" s="11" t="inlineStr">
        <is>
          <t>BU-A</t>
        </is>
      </c>
      <c r="B22" s="11" t="inlineStr">
        <is>
          <t>NJ</t>
        </is>
      </c>
      <c r="C22" s="28" t="n">
        <v>0.604</v>
      </c>
      <c r="D22" s="11" t="inlineStr">
        <is>
          <t>current</t>
        </is>
      </c>
      <c r="E22" s="49" t="n">
        <v>0.05</v>
      </c>
      <c r="F22" s="50" t="n">
        <v>0.9</v>
      </c>
      <c r="G22" s="50" t="n">
        <v>0.89</v>
      </c>
      <c r="H22" s="51" t="n">
        <v>46295</v>
      </c>
      <c r="I22" s="50" t="n">
        <v>0.895</v>
      </c>
      <c r="J22" s="52" t="n"/>
      <c r="K22" s="52" t="n"/>
      <c r="L22" s="53" t="n">
        <v>48000</v>
      </c>
      <c r="M22" s="49" t="n"/>
      <c r="N22" s="54" t="n">
        <v>1</v>
      </c>
      <c r="O22" s="13" t="inlineStr"/>
      <c r="P22" s="11" t="inlineStr">
        <is>
          <t>ON</t>
        </is>
      </c>
      <c r="Q22" s="49" t="n"/>
      <c r="R22" s="49" t="n"/>
      <c r="T22" s="55">
        <f>IF(OR($A22="",$B22=""),"",$A22&amp;"|"&amp;$B22)</f>
        <v/>
      </c>
    </row>
    <row r="23">
      <c r="A23" s="11" t="inlineStr">
        <is>
          <t>BU-A</t>
        </is>
      </c>
      <c r="B23" s="11" t="inlineStr">
        <is>
          <t>NY</t>
        </is>
      </c>
      <c r="C23" s="28" t="n">
        <v>0.588</v>
      </c>
      <c r="D23" s="11" t="inlineStr">
        <is>
          <t>current</t>
        </is>
      </c>
      <c r="E23" s="49" t="n">
        <v>0.05</v>
      </c>
      <c r="F23" s="50" t="n">
        <v>0.9</v>
      </c>
      <c r="G23" s="50" t="n">
        <v>0.89</v>
      </c>
      <c r="H23" s="51" t="n">
        <v>46295</v>
      </c>
      <c r="I23" s="50" t="n">
        <v>0.91</v>
      </c>
      <c r="J23" s="52" t="n"/>
      <c r="K23" s="52" t="n"/>
      <c r="L23" s="53" t="n">
        <v>36000</v>
      </c>
      <c r="M23" s="49" t="n"/>
      <c r="N23" s="54" t="n">
        <v>1</v>
      </c>
      <c r="O23" s="13" t="inlineStr"/>
      <c r="P23" s="11" t="inlineStr">
        <is>
          <t>ON</t>
        </is>
      </c>
      <c r="Q23" s="49" t="n"/>
      <c r="R23" s="49" t="n"/>
      <c r="T23" s="55">
        <f>IF(OR($A23="",$B23=""),"",$A23&amp;"|"&amp;$B23)</f>
        <v/>
      </c>
    </row>
    <row r="24">
      <c r="A24" s="11" t="inlineStr">
        <is>
          <t>BU-A</t>
        </is>
      </c>
      <c r="B24" s="11" t="inlineStr">
        <is>
          <t>OH</t>
        </is>
      </c>
      <c r="C24" s="28" t="n">
        <v>0.616</v>
      </c>
      <c r="D24" s="11" t="inlineStr">
        <is>
          <t>current</t>
        </is>
      </c>
      <c r="E24" s="49" t="n">
        <v>0.05</v>
      </c>
      <c r="F24" s="50" t="n">
        <v>0.9</v>
      </c>
      <c r="G24" s="50" t="n">
        <v>0.89</v>
      </c>
      <c r="H24" s="51" t="n">
        <v>46295</v>
      </c>
      <c r="I24" s="50" t="n">
        <v>0.89</v>
      </c>
      <c r="J24" s="52" t="n"/>
      <c r="K24" s="52" t="n"/>
      <c r="L24" s="53" t="n">
        <v>24000</v>
      </c>
      <c r="M24" s="49" t="n"/>
      <c r="N24" s="54" t="n">
        <v>1</v>
      </c>
      <c r="O24" s="13" t="inlineStr"/>
      <c r="P24" s="11" t="inlineStr">
        <is>
          <t>ON</t>
        </is>
      </c>
      <c r="Q24" s="49" t="n"/>
      <c r="R24" s="49" t="n"/>
      <c r="T24" s="55">
        <f>IF(OR($A24="",$B24=""),"",$A24&amp;"|"&amp;$B24)</f>
        <v/>
      </c>
    </row>
    <row r="25">
      <c r="A25" s="11" t="inlineStr">
        <is>
          <t>BU-A</t>
        </is>
      </c>
      <c r="B25" s="11" t="inlineStr">
        <is>
          <t>PA</t>
        </is>
      </c>
      <c r="C25" s="28" t="n">
        <v>0.6</v>
      </c>
      <c r="D25" s="11" t="inlineStr">
        <is>
          <t>current</t>
        </is>
      </c>
      <c r="E25" s="49" t="n">
        <v>0.05</v>
      </c>
      <c r="F25" s="50" t="n">
        <v>0.9</v>
      </c>
      <c r="G25" s="50" t="n">
        <v>0.89</v>
      </c>
      <c r="H25" s="51" t="n">
        <v>46295</v>
      </c>
      <c r="I25" s="50" t="n">
        <v>0.905</v>
      </c>
      <c r="J25" s="52" t="n"/>
      <c r="K25" s="52" t="n"/>
      <c r="L25" s="53" t="n">
        <v>63000</v>
      </c>
      <c r="M25" s="49" t="n"/>
      <c r="N25" s="54" t="n">
        <v>1</v>
      </c>
      <c r="O25" s="13" t="inlineStr"/>
      <c r="P25" s="11" t="inlineStr">
        <is>
          <t>ON</t>
        </is>
      </c>
      <c r="Q25" s="49" t="n"/>
      <c r="R25" s="49" t="n"/>
      <c r="T25" s="55">
        <f>IF(OR($A25="",$B25=""),"",$A25&amp;"|"&amp;$B25)</f>
        <v/>
      </c>
    </row>
    <row r="26">
      <c r="A26" s="11" t="inlineStr">
        <is>
          <t>BU-A</t>
        </is>
      </c>
      <c r="B26" s="11" t="inlineStr">
        <is>
          <t>TN</t>
        </is>
      </c>
      <c r="C26" s="28" t="n">
        <v>0.584</v>
      </c>
      <c r="D26" s="11" t="inlineStr">
        <is>
          <t>current</t>
        </is>
      </c>
      <c r="E26" s="49" t="n">
        <v>0.05</v>
      </c>
      <c r="F26" s="50" t="n">
        <v>0.9</v>
      </c>
      <c r="G26" s="50" t="n">
        <v>0.89</v>
      </c>
      <c r="H26" s="51" t="n">
        <v>46295</v>
      </c>
      <c r="I26" s="50" t="n">
        <v>0.885</v>
      </c>
      <c r="J26" s="52" t="n"/>
      <c r="K26" s="52" t="n"/>
      <c r="L26" s="53" t="n">
        <v>51000</v>
      </c>
      <c r="M26" s="49" t="n"/>
      <c r="N26" s="54" t="n">
        <v>1</v>
      </c>
      <c r="O26" s="13" t="inlineStr"/>
      <c r="P26" s="11" t="inlineStr">
        <is>
          <t>ON</t>
        </is>
      </c>
      <c r="Q26" s="49" t="n"/>
      <c r="R26" s="49" t="n"/>
      <c r="T26" s="55">
        <f>IF(OR($A26="",$B26=""),"",$A26&amp;"|"&amp;$B26)</f>
        <v/>
      </c>
    </row>
    <row r="27">
      <c r="A27" s="11" t="inlineStr">
        <is>
          <t>BU-A</t>
        </is>
      </c>
      <c r="B27" s="11" t="inlineStr">
        <is>
          <t>TX</t>
        </is>
      </c>
      <c r="C27" s="28" t="n">
        <v>0.612</v>
      </c>
      <c r="D27" s="11" t="inlineStr">
        <is>
          <t>current</t>
        </is>
      </c>
      <c r="E27" s="49" t="n">
        <v>0.05</v>
      </c>
      <c r="F27" s="50" t="n">
        <v>0.9</v>
      </c>
      <c r="G27" s="50" t="n">
        <v>0.89</v>
      </c>
      <c r="H27" s="51" t="n">
        <v>46295</v>
      </c>
      <c r="I27" s="50" t="n">
        <v>0.9</v>
      </c>
      <c r="J27" s="52" t="n"/>
      <c r="K27" s="52" t="n"/>
      <c r="L27" s="53" t="n">
        <v>39000</v>
      </c>
      <c r="M27" s="49" t="n"/>
      <c r="N27" s="54" t="n">
        <v>1</v>
      </c>
      <c r="O27" s="13" t="inlineStr"/>
      <c r="P27" s="11" t="inlineStr">
        <is>
          <t>ON</t>
        </is>
      </c>
      <c r="Q27" s="49" t="n"/>
      <c r="R27" s="49" t="n"/>
      <c r="T27" s="55">
        <f>IF(OR($A27="",$B27=""),"",$A27&amp;"|"&amp;$B27)</f>
        <v/>
      </c>
    </row>
    <row r="28">
      <c r="A28" s="11" t="inlineStr">
        <is>
          <t>BU-B</t>
        </is>
      </c>
      <c r="B28" s="11" t="inlineStr">
        <is>
          <t>AZ</t>
        </is>
      </c>
      <c r="C28" s="28" t="n">
        <v>0.596</v>
      </c>
      <c r="D28" s="11" t="inlineStr">
        <is>
          <t>current</t>
        </is>
      </c>
      <c r="E28" s="49" t="n">
        <v>0.05</v>
      </c>
      <c r="F28" s="50" t="n">
        <v>0.9</v>
      </c>
      <c r="G28" s="50" t="n">
        <v>0.89</v>
      </c>
      <c r="H28" s="51" t="n">
        <v>46295</v>
      </c>
      <c r="I28" s="50" t="n">
        <v>0.88</v>
      </c>
      <c r="J28" s="52" t="n"/>
      <c r="K28" s="52" t="n"/>
      <c r="L28" s="53" t="n">
        <v>27000</v>
      </c>
      <c r="M28" s="49" t="n"/>
      <c r="N28" s="54" t="n">
        <v>1</v>
      </c>
      <c r="O28" s="13" t="inlineStr"/>
      <c r="P28" s="11" t="inlineStr">
        <is>
          <t>ON</t>
        </is>
      </c>
      <c r="Q28" s="49" t="n"/>
      <c r="R28" s="49" t="n"/>
      <c r="T28" s="55">
        <f>IF(OR($A28="",$B28=""),"",$A28&amp;"|"&amp;$B28)</f>
        <v/>
      </c>
    </row>
    <row r="29">
      <c r="A29" s="11" t="inlineStr">
        <is>
          <t>BU-B</t>
        </is>
      </c>
      <c r="B29" s="11" t="inlineStr">
        <is>
          <t>CA</t>
        </is>
      </c>
      <c r="C29" s="28" t="n">
        <v>0.58</v>
      </c>
      <c r="D29" s="11" t="inlineStr">
        <is>
          <t>proposed</t>
        </is>
      </c>
      <c r="E29" s="49" t="n">
        <v>0.08</v>
      </c>
      <c r="F29" s="50" t="n">
        <v>0.9</v>
      </c>
      <c r="G29" s="50" t="n">
        <v>0.89</v>
      </c>
      <c r="H29" s="51" t="n">
        <v>46295</v>
      </c>
      <c r="I29" s="50" t="n">
        <v>0.895</v>
      </c>
      <c r="J29" s="52" t="n"/>
      <c r="K29" s="52" t="n"/>
      <c r="L29" s="53" t="n">
        <v>66000</v>
      </c>
      <c r="M29" s="49" t="n">
        <v>0.01</v>
      </c>
      <c r="N29" s="54" t="n">
        <v>1</v>
      </c>
      <c r="O29" s="13" t="inlineStr"/>
      <c r="P29" s="11" t="inlineStr">
        <is>
          <t>ON</t>
        </is>
      </c>
      <c r="Q29" s="49" t="n"/>
      <c r="R29" s="49" t="n"/>
      <c r="T29" s="55">
        <f>IF(OR($A29="",$B29=""),"",$A29&amp;"|"&amp;$B29)</f>
        <v/>
      </c>
    </row>
    <row r="30">
      <c r="A30" s="11" t="inlineStr">
        <is>
          <t>BU-B</t>
        </is>
      </c>
      <c r="B30" s="11" t="inlineStr">
        <is>
          <t>CO</t>
        </is>
      </c>
      <c r="C30" s="28" t="n">
        <v>0.608</v>
      </c>
      <c r="D30" s="11" t="inlineStr">
        <is>
          <t>current</t>
        </is>
      </c>
      <c r="E30" s="49" t="n">
        <v>0.05</v>
      </c>
      <c r="F30" s="50" t="n">
        <v>0.9</v>
      </c>
      <c r="G30" s="50" t="n">
        <v>0.89</v>
      </c>
      <c r="H30" s="51" t="n">
        <v>46295</v>
      </c>
      <c r="I30" s="50" t="n">
        <v>0.91</v>
      </c>
      <c r="J30" s="52" t="n"/>
      <c r="K30" s="52" t="n"/>
      <c r="L30" s="53" t="n">
        <v>54000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0.592</v>
      </c>
      <c r="D31" s="11" t="inlineStr">
        <is>
          <t>current</t>
        </is>
      </c>
      <c r="E31" s="49" t="n">
        <v>0.05</v>
      </c>
      <c r="F31" s="50" t="n">
        <v>0.9</v>
      </c>
      <c r="G31" s="50" t="n">
        <v>0.89</v>
      </c>
      <c r="H31" s="51" t="n">
        <v>46295</v>
      </c>
      <c r="I31" s="50" t="n">
        <v>0.89</v>
      </c>
      <c r="J31" s="52" t="n"/>
      <c r="K31" s="52" t="n"/>
      <c r="L31" s="53" t="n">
        <v>42000</v>
      </c>
      <c r="M31" s="49" t="n"/>
      <c r="N31" s="54" t="n">
        <v>1</v>
      </c>
      <c r="O31" s="13" t="inlineStr"/>
      <c r="P31" s="11" t="inlineStr">
        <is>
          <t>ON</t>
        </is>
      </c>
      <c r="Q31" s="49" t="n"/>
      <c r="R31" s="49" t="n"/>
      <c r="T31" s="55">
        <f>IF(OR($A31="",$B31=""),"",$A31&amp;"|"&amp;$B31)</f>
        <v/>
      </c>
    </row>
    <row r="32">
      <c r="A32" s="11" t="inlineStr">
        <is>
          <t>BU-B</t>
        </is>
      </c>
      <c r="B32" s="11" t="inlineStr">
        <is>
          <t>FL</t>
        </is>
      </c>
      <c r="C32" s="28" t="n">
        <v>0.62</v>
      </c>
      <c r="D32" s="11" t="inlineStr">
        <is>
          <t>current</t>
        </is>
      </c>
      <c r="E32" s="49" t="n">
        <v>0.05</v>
      </c>
      <c r="F32" s="50" t="n">
        <v>0.9</v>
      </c>
      <c r="G32" s="50" t="n">
        <v>0.89</v>
      </c>
      <c r="H32" s="51" t="n">
        <v>46295</v>
      </c>
      <c r="I32" s="50" t="n">
        <v>0.905</v>
      </c>
      <c r="J32" s="52" t="n"/>
      <c r="K32" s="52" t="n"/>
      <c r="L32" s="53" t="n">
        <v>30000</v>
      </c>
      <c r="M32" s="49" t="n"/>
      <c r="N32" s="54" t="n">
        <v>1</v>
      </c>
      <c r="O32" s="13" t="inlineStr"/>
      <c r="P32" s="11" t="inlineStr">
        <is>
          <t>ON</t>
        </is>
      </c>
      <c r="Q32" s="49" t="n"/>
      <c r="R32" s="49" t="n"/>
      <c r="T32" s="55">
        <f>IF(OR($A32="",$B32=""),"",$A32&amp;"|"&amp;$B32)</f>
        <v/>
      </c>
    </row>
    <row r="33">
      <c r="A33" s="11" t="inlineStr">
        <is>
          <t>BU-B</t>
        </is>
      </c>
      <c r="B33" s="11" t="inlineStr">
        <is>
          <t>GA</t>
        </is>
      </c>
      <c r="C33" s="28" t="n">
        <v>0.604</v>
      </c>
      <c r="D33" s="11" t="inlineStr">
        <is>
          <t>current</t>
        </is>
      </c>
      <c r="E33" s="49" t="n">
        <v>0.05</v>
      </c>
      <c r="F33" s="50" t="n">
        <v>0.9</v>
      </c>
      <c r="G33" s="50" t="n">
        <v>0.89</v>
      </c>
      <c r="H33" s="51" t="n">
        <v>46295</v>
      </c>
      <c r="I33" s="50" t="n">
        <v>0.885</v>
      </c>
      <c r="J33" s="52" t="n"/>
      <c r="K33" s="52" t="n"/>
      <c r="L33" s="53" t="n">
        <v>69000</v>
      </c>
      <c r="M33" s="49" t="n"/>
      <c r="N33" s="54" t="n">
        <v>1</v>
      </c>
      <c r="O33" s="13" t="inlineStr"/>
      <c r="P33" s="11" t="inlineStr">
        <is>
          <t>ON</t>
        </is>
      </c>
      <c r="Q33" s="49" t="n"/>
      <c r="R33" s="49" t="n"/>
      <c r="T33" s="55">
        <f>IF(OR($A33="",$B33=""),"",$A33&amp;"|"&amp;$B33)</f>
        <v/>
      </c>
    </row>
    <row r="34">
      <c r="A34" s="11" t="inlineStr">
        <is>
          <t>BU-B</t>
        </is>
      </c>
      <c r="B34" s="11" t="inlineStr">
        <is>
          <t>IL</t>
        </is>
      </c>
      <c r="C34" s="28" t="n">
        <v>0.588</v>
      </c>
      <c r="D34" s="11" t="inlineStr">
        <is>
          <t>current</t>
        </is>
      </c>
      <c r="E34" s="49" t="n">
        <v>0.05</v>
      </c>
      <c r="F34" s="50" t="n">
        <v>0.9</v>
      </c>
      <c r="G34" s="50" t="n">
        <v>0.89</v>
      </c>
      <c r="H34" s="51" t="n">
        <v>46295</v>
      </c>
      <c r="I34" s="50" t="n">
        <v>0.9</v>
      </c>
      <c r="J34" s="52" t="n"/>
      <c r="K34" s="52" t="n"/>
      <c r="L34" s="53" t="n">
        <v>57000</v>
      </c>
      <c r="M34" s="49" t="n"/>
      <c r="N34" s="54" t="n">
        <v>1</v>
      </c>
      <c r="O34" s="13" t="inlineStr"/>
      <c r="P34" s="11" t="inlineStr">
        <is>
          <t>ON</t>
        </is>
      </c>
      <c r="Q34" s="49" t="n"/>
      <c r="R34" s="49" t="n"/>
      <c r="T34" s="55">
        <f>IF(OR($A34="",$B34=""),"",$A34&amp;"|"&amp;$B34)</f>
        <v/>
      </c>
    </row>
    <row r="35">
      <c r="A35" s="11" t="inlineStr">
        <is>
          <t>BU-B</t>
        </is>
      </c>
      <c r="B35" s="11" t="inlineStr">
        <is>
          <t>IN</t>
        </is>
      </c>
      <c r="C35" s="28" t="n">
        <v>0.616</v>
      </c>
      <c r="D35" s="11" t="inlineStr">
        <is>
          <t>current</t>
        </is>
      </c>
      <c r="E35" s="49" t="n">
        <v>0.05</v>
      </c>
      <c r="F35" s="50" t="n">
        <v>0.9</v>
      </c>
      <c r="G35" s="50" t="n">
        <v>0.89</v>
      </c>
      <c r="H35" s="51" t="n">
        <v>46295</v>
      </c>
      <c r="I35" s="50" t="n">
        <v>0.88</v>
      </c>
      <c r="J35" s="52" t="n"/>
      <c r="K35" s="52" t="n"/>
      <c r="L35" s="53" t="n">
        <v>45000</v>
      </c>
      <c r="M35" s="49" t="n"/>
      <c r="N35" s="54" t="n">
        <v>1</v>
      </c>
      <c r="O35" s="13" t="inlineStr"/>
      <c r="P35" s="11" t="inlineStr">
        <is>
          <t>ON</t>
        </is>
      </c>
      <c r="Q35" s="49" t="n"/>
      <c r="R35" s="49" t="n"/>
      <c r="T35" s="55">
        <f>IF(OR($A35="",$B35=""),"",$A35&amp;"|"&amp;$B35)</f>
        <v/>
      </c>
    </row>
    <row r="36">
      <c r="A36" s="11" t="inlineStr">
        <is>
          <t>BU-B</t>
        </is>
      </c>
      <c r="B36" s="11" t="inlineStr">
        <is>
          <t>IA</t>
        </is>
      </c>
      <c r="C36" s="28" t="n">
        <v>0.6</v>
      </c>
      <c r="D36" s="11" t="inlineStr">
        <is>
          <t>current</t>
        </is>
      </c>
      <c r="E36" s="49" t="n">
        <v>0.05</v>
      </c>
      <c r="F36" s="50" t="n">
        <v>0.9</v>
      </c>
      <c r="G36" s="50" t="n">
        <v>0.89</v>
      </c>
      <c r="H36" s="51" t="n">
        <v>46295</v>
      </c>
      <c r="I36" s="50" t="n">
        <v>0.895</v>
      </c>
      <c r="J36" s="52" t="n"/>
      <c r="K36" s="52" t="n"/>
      <c r="L36" s="53" t="n">
        <v>33000</v>
      </c>
      <c r="M36" s="49" t="n"/>
      <c r="N36" s="54" t="n">
        <v>1</v>
      </c>
      <c r="O36" s="13" t="inlineStr"/>
      <c r="P36" s="11" t="inlineStr">
        <is>
          <t>ON</t>
        </is>
      </c>
      <c r="Q36" s="49" t="n"/>
      <c r="R36" s="49" t="n"/>
      <c r="T36" s="55">
        <f>IF(OR($A36="",$B36=""),"",$A36&amp;"|"&amp;$B36)</f>
        <v/>
      </c>
    </row>
    <row r="37">
      <c r="A37" s="11" t="inlineStr">
        <is>
          <t>BU-B</t>
        </is>
      </c>
      <c r="B37" s="11" t="inlineStr">
        <is>
          <t>KY</t>
        </is>
      </c>
      <c r="C37" s="28" t="n">
        <v>0.584</v>
      </c>
      <c r="D37" s="11" t="inlineStr">
        <is>
          <t>current</t>
        </is>
      </c>
      <c r="E37" s="49" t="n">
        <v>0.05</v>
      </c>
      <c r="F37" s="50" t="n">
        <v>0.9</v>
      </c>
      <c r="G37" s="50" t="n">
        <v>0.89</v>
      </c>
      <c r="H37" s="51" t="n">
        <v>46295</v>
      </c>
      <c r="I37" s="50" t="n">
        <v>0.91</v>
      </c>
      <c r="J37" s="52" t="n"/>
      <c r="K37" s="52" t="n"/>
      <c r="L37" s="53" t="n">
        <v>72000</v>
      </c>
      <c r="M37" s="49" t="n"/>
      <c r="N37" s="54" t="n">
        <v>1</v>
      </c>
      <c r="O37" s="13" t="inlineStr"/>
      <c r="P37" s="11" t="inlineStr">
        <is>
          <t>ON</t>
        </is>
      </c>
      <c r="Q37" s="49" t="n"/>
      <c r="R37" s="49" t="n"/>
      <c r="T37" s="55">
        <f>IF(OR($A37="",$B37=""),"",$A37&amp;"|"&amp;$B37)</f>
        <v/>
      </c>
    </row>
    <row r="38">
      <c r="A38" s="11" t="inlineStr">
        <is>
          <t>BU-B</t>
        </is>
      </c>
      <c r="B38" s="11" t="inlineStr">
        <is>
          <t>MD</t>
        </is>
      </c>
      <c r="C38" s="28" t="n">
        <v>0.612</v>
      </c>
      <c r="D38" s="11" t="inlineStr">
        <is>
          <t>current</t>
        </is>
      </c>
      <c r="E38" s="49" t="n">
        <v>0.05</v>
      </c>
      <c r="F38" s="50" t="n">
        <v>0.9</v>
      </c>
      <c r="G38" s="50" t="n">
        <v>0.89</v>
      </c>
      <c r="H38" s="51" t="n">
        <v>46295</v>
      </c>
      <c r="I38" s="50" t="n">
        <v>0.89</v>
      </c>
      <c r="J38" s="52" t="n"/>
      <c r="K38" s="52" t="n"/>
      <c r="L38" s="53" t="n">
        <v>60000</v>
      </c>
      <c r="M38" s="49" t="n"/>
      <c r="N38" s="54" t="n">
        <v>1</v>
      </c>
      <c r="O38" s="13" t="inlineStr"/>
      <c r="P38" s="11" t="inlineStr">
        <is>
          <t>ON</t>
        </is>
      </c>
      <c r="Q38" s="49" t="n"/>
      <c r="R38" s="49" t="n"/>
      <c r="T38" s="55">
        <f>IF(OR($A38="",$B38=""),"",$A38&amp;"|"&amp;$B38)</f>
        <v/>
      </c>
    </row>
    <row r="39">
      <c r="A39" s="11" t="inlineStr">
        <is>
          <t>BU-B</t>
        </is>
      </c>
      <c r="B39" s="11" t="inlineStr">
        <is>
          <t>MI</t>
        </is>
      </c>
      <c r="C39" s="28" t="n">
        <v>0.596</v>
      </c>
      <c r="D39" s="11" t="inlineStr">
        <is>
          <t>current</t>
        </is>
      </c>
      <c r="E39" s="49" t="n">
        <v>0.05</v>
      </c>
      <c r="F39" s="50" t="n">
        <v>0.9</v>
      </c>
      <c r="G39" s="50" t="n">
        <v>0.89</v>
      </c>
      <c r="H39" s="51" t="n">
        <v>46295</v>
      </c>
      <c r="I39" s="50" t="n">
        <v>0.905</v>
      </c>
      <c r="J39" s="52" t="n"/>
      <c r="K39" s="52" t="n"/>
      <c r="L39" s="53" t="n">
        <v>48000</v>
      </c>
      <c r="M39" s="49" t="n"/>
      <c r="N39" s="54" t="n">
        <v>1</v>
      </c>
      <c r="O39" s="13" t="inlineStr"/>
      <c r="P39" s="11" t="inlineStr">
        <is>
          <t>ON</t>
        </is>
      </c>
      <c r="Q39" s="49" t="n"/>
      <c r="R39" s="49" t="n"/>
      <c r="T39" s="55">
        <f>IF(OR($A39="",$B39=""),"",$A39&amp;"|"&amp;$B39)</f>
        <v/>
      </c>
    </row>
    <row r="40">
      <c r="A40" s="11" t="inlineStr">
        <is>
          <t>BU-B</t>
        </is>
      </c>
      <c r="B40" s="11" t="inlineStr">
        <is>
          <t>MN</t>
        </is>
      </c>
      <c r="C40" s="28" t="n">
        <v>0.58</v>
      </c>
      <c r="D40" s="11" t="inlineStr">
        <is>
          <t>current</t>
        </is>
      </c>
      <c r="E40" s="49" t="n">
        <v>0.05</v>
      </c>
      <c r="F40" s="50" t="n">
        <v>0.9</v>
      </c>
      <c r="G40" s="50" t="n">
        <v>0.89</v>
      </c>
      <c r="H40" s="51" t="n">
        <v>46295</v>
      </c>
      <c r="I40" s="50" t="n">
        <v>0.885</v>
      </c>
      <c r="J40" s="52" t="n"/>
      <c r="K40" s="52" t="n"/>
      <c r="L40" s="53" t="n">
        <v>36000</v>
      </c>
      <c r="M40" s="49" t="n"/>
      <c r="N40" s="54" t="n">
        <v>1</v>
      </c>
      <c r="O40" s="13" t="inlineStr"/>
      <c r="P40" s="11" t="inlineStr">
        <is>
          <t>ON</t>
        </is>
      </c>
      <c r="Q40" s="49" t="n"/>
      <c r="R40" s="49" t="n"/>
      <c r="T40" s="55">
        <f>IF(OR($A40="",$B40=""),"",$A40&amp;"|"&amp;$B40)</f>
        <v/>
      </c>
    </row>
    <row r="41">
      <c r="A41" s="11" t="inlineStr">
        <is>
          <t>BU-B</t>
        </is>
      </c>
      <c r="B41" s="11" t="inlineStr">
        <is>
          <t>MO</t>
        </is>
      </c>
      <c r="C41" s="28" t="n">
        <v>0.608</v>
      </c>
      <c r="D41" s="11" t="inlineStr">
        <is>
          <t>current</t>
        </is>
      </c>
      <c r="E41" s="49" t="n">
        <v>0.05</v>
      </c>
      <c r="F41" s="50" t="n">
        <v>0.9</v>
      </c>
      <c r="G41" s="50" t="n">
        <v>0.89</v>
      </c>
      <c r="H41" s="51" t="n">
        <v>46295</v>
      </c>
      <c r="I41" s="50" t="n">
        <v>0.9</v>
      </c>
      <c r="J41" s="52" t="n"/>
      <c r="K41" s="52" t="n"/>
      <c r="L41" s="53" t="n">
        <v>24000</v>
      </c>
      <c r="M41" s="49" t="n"/>
      <c r="N41" s="54" t="n">
        <v>1</v>
      </c>
      <c r="O41" s="13" t="inlineStr"/>
      <c r="P41" s="11" t="inlineStr">
        <is>
          <t>ON</t>
        </is>
      </c>
      <c r="Q41" s="49" t="n"/>
      <c r="R41" s="49" t="n"/>
      <c r="T41" s="55">
        <f>IF(OR($A41="",$B41=""),"",$A41&amp;"|"&amp;$B41)</f>
        <v/>
      </c>
    </row>
    <row r="42">
      <c r="A42" s="11" t="inlineStr">
        <is>
          <t>BU-B</t>
        </is>
      </c>
      <c r="B42" s="11" t="inlineStr">
        <is>
          <t>NC</t>
        </is>
      </c>
      <c r="C42" s="28" t="n">
        <v>0.592</v>
      </c>
      <c r="D42" s="11" t="inlineStr">
        <is>
          <t>current</t>
        </is>
      </c>
      <c r="E42" s="49" t="n">
        <v>0.05</v>
      </c>
      <c r="F42" s="50" t="n">
        <v>0.9</v>
      </c>
      <c r="G42" s="50" t="n">
        <v>0.89</v>
      </c>
      <c r="H42" s="51" t="n">
        <v>46295</v>
      </c>
      <c r="I42" s="50" t="n">
        <v>0.88</v>
      </c>
      <c r="J42" s="52" t="n"/>
      <c r="K42" s="52" t="n"/>
      <c r="L42" s="53" t="n">
        <v>63000</v>
      </c>
      <c r="M42" s="49" t="n"/>
      <c r="N42" s="54" t="n">
        <v>1</v>
      </c>
      <c r="O42" s="13" t="inlineStr"/>
      <c r="P42" s="11" t="inlineStr">
        <is>
          <t>ON</t>
        </is>
      </c>
      <c r="Q42" s="49" t="n"/>
      <c r="R42" s="49" t="n"/>
      <c r="T42" s="55">
        <f>IF(OR($A42="",$B42=""),"",$A42&amp;"|"&amp;$B42)</f>
        <v/>
      </c>
    </row>
    <row r="43">
      <c r="A43" s="11" t="inlineStr">
        <is>
          <t>BU-B</t>
        </is>
      </c>
      <c r="B43" s="11" t="inlineStr">
        <is>
          <t>NJ</t>
        </is>
      </c>
      <c r="C43" s="28" t="n">
        <v>0.62</v>
      </c>
      <c r="D43" s="11" t="inlineStr">
        <is>
          <t>current</t>
        </is>
      </c>
      <c r="E43" s="49" t="n">
        <v>0.05</v>
      </c>
      <c r="F43" s="50" t="n">
        <v>0.9</v>
      </c>
      <c r="G43" s="50" t="n">
        <v>0.89</v>
      </c>
      <c r="H43" s="51" t="n">
        <v>46295</v>
      </c>
      <c r="I43" s="50" t="n">
        <v>0.895</v>
      </c>
      <c r="J43" s="52" t="n"/>
      <c r="K43" s="52" t="n"/>
      <c r="L43" s="53" t="n">
        <v>51000</v>
      </c>
      <c r="M43" s="49" t="n"/>
      <c r="N43" s="54" t="n">
        <v>1</v>
      </c>
      <c r="O43" s="13" t="inlineStr"/>
      <c r="P43" s="11" t="inlineStr">
        <is>
          <t>ON</t>
        </is>
      </c>
      <c r="Q43" s="49" t="n"/>
      <c r="R43" s="49" t="n"/>
      <c r="T43" s="55">
        <f>IF(OR($A43="",$B43=""),"",$A43&amp;"|"&amp;$B43)</f>
        <v/>
      </c>
    </row>
    <row r="44">
      <c r="A44" s="11" t="inlineStr">
        <is>
          <t>BU-B</t>
        </is>
      </c>
      <c r="B44" s="11" t="inlineStr">
        <is>
          <t>NY</t>
        </is>
      </c>
      <c r="C44" s="28" t="n">
        <v>0.604</v>
      </c>
      <c r="D44" s="11" t="inlineStr">
        <is>
          <t>current</t>
        </is>
      </c>
      <c r="E44" s="49" t="n">
        <v>0.05</v>
      </c>
      <c r="F44" s="50" t="n">
        <v>0.9</v>
      </c>
      <c r="G44" s="50" t="n">
        <v>0.89</v>
      </c>
      <c r="H44" s="51" t="n">
        <v>46295</v>
      </c>
      <c r="I44" s="50" t="n">
        <v>0.91</v>
      </c>
      <c r="J44" s="52" t="n"/>
      <c r="K44" s="52" t="n"/>
      <c r="L44" s="53" t="n">
        <v>39000</v>
      </c>
      <c r="M44" s="49" t="n"/>
      <c r="N44" s="54" t="n">
        <v>1</v>
      </c>
      <c r="O44" s="13" t="inlineStr"/>
      <c r="P44" s="11" t="inlineStr">
        <is>
          <t>ON</t>
        </is>
      </c>
      <c r="Q44" s="49" t="n"/>
      <c r="R44" s="49" t="n"/>
      <c r="T44" s="55">
        <f>IF(OR($A44="",$B44=""),"",$A44&amp;"|"&amp;$B44)</f>
        <v/>
      </c>
    </row>
    <row r="45">
      <c r="A45" s="11" t="inlineStr">
        <is>
          <t>BU-B</t>
        </is>
      </c>
      <c r="B45" s="11" t="inlineStr">
        <is>
          <t>OH</t>
        </is>
      </c>
      <c r="C45" s="28" t="n">
        <v>0.588</v>
      </c>
      <c r="D45" s="11" t="inlineStr">
        <is>
          <t>current</t>
        </is>
      </c>
      <c r="E45" s="49" t="n">
        <v>0.05</v>
      </c>
      <c r="F45" s="50" t="n">
        <v>0.9</v>
      </c>
      <c r="G45" s="50" t="n">
        <v>0.89</v>
      </c>
      <c r="H45" s="51" t="n">
        <v>46295</v>
      </c>
      <c r="I45" s="50" t="n">
        <v>0.89</v>
      </c>
      <c r="J45" s="52" t="n"/>
      <c r="K45" s="52" t="n"/>
      <c r="L45" s="53" t="n">
        <v>27000</v>
      </c>
      <c r="M45" s="49" t="n"/>
      <c r="N45" s="54" t="n">
        <v>1</v>
      </c>
      <c r="O45" s="13" t="inlineStr"/>
      <c r="P45" s="11" t="inlineStr">
        <is>
          <t>ON</t>
        </is>
      </c>
      <c r="Q45" s="49" t="n"/>
      <c r="R45" s="49" t="n"/>
      <c r="T45" s="55">
        <f>IF(OR($A45="",$B45=""),"",$A45&amp;"|"&amp;$B45)</f>
        <v/>
      </c>
    </row>
    <row r="46">
      <c r="A46" s="11" t="inlineStr">
        <is>
          <t>BU-B</t>
        </is>
      </c>
      <c r="B46" s="11" t="inlineStr">
        <is>
          <t>PA</t>
        </is>
      </c>
      <c r="C46" s="28" t="n">
        <v>0.616</v>
      </c>
      <c r="D46" s="11" t="inlineStr">
        <is>
          <t>current</t>
        </is>
      </c>
      <c r="E46" s="49" t="n">
        <v>0.05</v>
      </c>
      <c r="F46" s="50" t="n">
        <v>0.9</v>
      </c>
      <c r="G46" s="50" t="n">
        <v>0.89</v>
      </c>
      <c r="H46" s="51" t="n">
        <v>46295</v>
      </c>
      <c r="I46" s="50" t="n">
        <v>0.905</v>
      </c>
      <c r="J46" s="52" t="n"/>
      <c r="K46" s="52" t="n"/>
      <c r="L46" s="53" t="n">
        <v>66000</v>
      </c>
      <c r="M46" s="49" t="n"/>
      <c r="N46" s="54" t="n">
        <v>1</v>
      </c>
      <c r="O46" s="13" t="inlineStr"/>
      <c r="P46" s="11" t="inlineStr">
        <is>
          <t>ON</t>
        </is>
      </c>
      <c r="Q46" s="49" t="n"/>
      <c r="R46" s="49" t="n"/>
      <c r="T46" s="55">
        <f>IF(OR($A46="",$B46=""),"",$A46&amp;"|"&amp;$B46)</f>
        <v/>
      </c>
    </row>
    <row r="47">
      <c r="A47" s="11" t="inlineStr">
        <is>
          <t>BU-B</t>
        </is>
      </c>
      <c r="B47" s="11" t="inlineStr">
        <is>
          <t>TN</t>
        </is>
      </c>
      <c r="C47" s="28" t="n">
        <v>0.6</v>
      </c>
      <c r="D47" s="11" t="inlineStr">
        <is>
          <t>current</t>
        </is>
      </c>
      <c r="E47" s="49" t="n">
        <v>0.05</v>
      </c>
      <c r="F47" s="50" t="n">
        <v>0.9</v>
      </c>
      <c r="G47" s="50" t="n">
        <v>0.89</v>
      </c>
      <c r="H47" s="51" t="n">
        <v>46295</v>
      </c>
      <c r="I47" s="50" t="n">
        <v>0.885</v>
      </c>
      <c r="J47" s="52" t="n"/>
      <c r="K47" s="52" t="n"/>
      <c r="L47" s="53" t="n">
        <v>54000</v>
      </c>
      <c r="M47" s="49" t="n"/>
      <c r="N47" s="54" t="n">
        <v>1</v>
      </c>
      <c r="O47" s="13" t="inlineStr"/>
      <c r="P47" s="11" t="inlineStr">
        <is>
          <t>ON</t>
        </is>
      </c>
      <c r="Q47" s="49" t="n"/>
      <c r="R47" s="49" t="n"/>
      <c r="T47" s="55">
        <f>IF(OR($A47="",$B47=""),"",$A47&amp;"|"&amp;$B47)</f>
        <v/>
      </c>
    </row>
    <row r="48">
      <c r="A48" s="11" t="inlineStr">
        <is>
          <t>BU-B</t>
        </is>
      </c>
      <c r="B48" s="11" t="inlineStr">
        <is>
          <t>TX</t>
        </is>
      </c>
      <c r="C48" s="28" t="n">
        <v>0.584</v>
      </c>
      <c r="D48" s="11" t="inlineStr">
        <is>
          <t>current</t>
        </is>
      </c>
      <c r="E48" s="49" t="n">
        <v>0.05</v>
      </c>
      <c r="F48" s="50" t="n">
        <v>0.9</v>
      </c>
      <c r="G48" s="50" t="n">
        <v>0.89</v>
      </c>
      <c r="H48" s="51" t="n">
        <v>46295</v>
      </c>
      <c r="I48" s="50" t="n">
        <v>0.9</v>
      </c>
      <c r="J48" s="52" t="n"/>
      <c r="K48" s="52" t="n"/>
      <c r="L48" s="53" t="n">
        <v>42000</v>
      </c>
      <c r="M48" s="49" t="n"/>
      <c r="N48" s="54" t="n">
        <v>1</v>
      </c>
      <c r="O48" s="13" t="inlineStr"/>
      <c r="P48" s="11" t="inlineStr">
        <is>
          <t>ON</t>
        </is>
      </c>
      <c r="Q48" s="49" t="n"/>
      <c r="R48" s="49" t="n"/>
      <c r="T48" s="55">
        <f>IF(OR($A48="",$B48=""),"",$A48&amp;"|"&amp;$B48)</f>
        <v/>
      </c>
    </row>
    <row r="49">
      <c r="A49" s="11" t="inlineStr">
        <is>
          <t>BU-C</t>
        </is>
      </c>
      <c r="B49" s="11" t="inlineStr">
        <is>
          <t>AZ</t>
        </is>
      </c>
      <c r="C49" s="28" t="n">
        <v>0.612</v>
      </c>
      <c r="D49" s="11" t="inlineStr">
        <is>
          <t>current</t>
        </is>
      </c>
      <c r="E49" s="49" t="n">
        <v>0.05</v>
      </c>
      <c r="F49" s="50" t="n">
        <v>0.9</v>
      </c>
      <c r="G49" s="50" t="n">
        <v>0.89</v>
      </c>
      <c r="H49" s="51" t="n">
        <v>46295</v>
      </c>
      <c r="I49" s="50" t="n">
        <v>0.88</v>
      </c>
      <c r="J49" s="52" t="n"/>
      <c r="K49" s="52" t="n"/>
      <c r="L49" s="53" t="n">
        <v>30000</v>
      </c>
      <c r="M49" s="49" t="n"/>
      <c r="N49" s="54" t="n">
        <v>1</v>
      </c>
      <c r="O49" s="13" t="inlineStr"/>
      <c r="P49" s="11" t="inlineStr">
        <is>
          <t>ON</t>
        </is>
      </c>
      <c r="Q49" s="49" t="n"/>
      <c r="R49" s="49" t="n"/>
      <c r="T49" s="55">
        <f>IF(OR($A49="",$B49=""),"",$A49&amp;"|"&amp;$B49)</f>
        <v/>
      </c>
    </row>
    <row r="50">
      <c r="A50" s="11" t="inlineStr">
        <is>
          <t>BU-C</t>
        </is>
      </c>
      <c r="B50" s="11" t="inlineStr">
        <is>
          <t>CA</t>
        </is>
      </c>
      <c r="C50" s="28" t="n">
        <v>0.596</v>
      </c>
      <c r="D50" s="11" t="inlineStr">
        <is>
          <t>current</t>
        </is>
      </c>
      <c r="E50" s="49" t="n">
        <v>0.05</v>
      </c>
      <c r="F50" s="50" t="n">
        <v>0.9</v>
      </c>
      <c r="G50" s="50" t="n">
        <v>0.89</v>
      </c>
      <c r="H50" s="51" t="n">
        <v>46295</v>
      </c>
      <c r="I50" s="50" t="n">
        <v>0.895</v>
      </c>
      <c r="J50" s="52" t="n"/>
      <c r="K50" s="52" t="n"/>
      <c r="L50" s="53" t="n">
        <v>69000</v>
      </c>
      <c r="M50" s="49" t="n"/>
      <c r="N50" s="54" t="n">
        <v>1</v>
      </c>
      <c r="O50" s="13" t="inlineStr"/>
      <c r="P50" s="11" t="inlineStr">
        <is>
          <t>ON</t>
        </is>
      </c>
      <c r="Q50" s="49" t="n"/>
      <c r="R50" s="49" t="n"/>
      <c r="T50" s="55">
        <f>IF(OR($A50="",$B50=""),"",$A50&amp;"|"&amp;$B50)</f>
        <v/>
      </c>
    </row>
    <row r="51">
      <c r="A51" s="11" t="inlineStr">
        <is>
          <t>BU-C</t>
        </is>
      </c>
      <c r="B51" s="11" t="inlineStr">
        <is>
          <t>CO</t>
        </is>
      </c>
      <c r="C51" s="28" t="n">
        <v>0.58</v>
      </c>
      <c r="D51" s="11" t="inlineStr">
        <is>
          <t>current</t>
        </is>
      </c>
      <c r="E51" s="49" t="n">
        <v>0.05</v>
      </c>
      <c r="F51" s="50" t="n">
        <v>0.9</v>
      </c>
      <c r="G51" s="50" t="n">
        <v>0.89</v>
      </c>
      <c r="H51" s="51" t="n">
        <v>46295</v>
      </c>
      <c r="I51" s="50" t="n">
        <v>0.91</v>
      </c>
      <c r="J51" s="52" t="n"/>
      <c r="K51" s="52" t="n"/>
      <c r="L51" s="53" t="n">
        <v>57000</v>
      </c>
      <c r="M51" s="49" t="n"/>
      <c r="N51" s="54" t="n">
        <v>1</v>
      </c>
      <c r="O51" s="13" t="inlineStr"/>
      <c r="P51" s="11" t="inlineStr">
        <is>
          <t>ON</t>
        </is>
      </c>
      <c r="Q51" s="49" t="n"/>
      <c r="R51" s="49" t="n"/>
      <c r="T51" s="55">
        <f>IF(OR($A51="",$B51=""),"",$A51&amp;"|"&amp;$B51)</f>
        <v/>
      </c>
    </row>
    <row r="52">
      <c r="A52" s="11" t="inlineStr">
        <is>
          <t>BU-C</t>
        </is>
      </c>
      <c r="B52" s="11" t="inlineStr">
        <is>
          <t>CT</t>
        </is>
      </c>
      <c r="C52" s="28" t="n">
        <v>0.608</v>
      </c>
      <c r="D52" s="11" t="inlineStr">
        <is>
          <t>current</t>
        </is>
      </c>
      <c r="E52" s="49" t="n">
        <v>0.05</v>
      </c>
      <c r="F52" s="50" t="n">
        <v>0.9</v>
      </c>
      <c r="G52" s="50" t="n">
        <v>0.89</v>
      </c>
      <c r="H52" s="51" t="n">
        <v>46295</v>
      </c>
      <c r="I52" s="50" t="n">
        <v>0.89</v>
      </c>
      <c r="J52" s="52" t="n"/>
      <c r="K52" s="52" t="n"/>
      <c r="L52" s="53" t="n">
        <v>45000</v>
      </c>
      <c r="M52" s="49" t="n"/>
      <c r="N52" s="54" t="n">
        <v>1</v>
      </c>
      <c r="O52" s="13" t="inlineStr"/>
      <c r="P52" s="11" t="inlineStr">
        <is>
          <t>ON</t>
        </is>
      </c>
      <c r="Q52" s="49" t="n"/>
      <c r="R52" s="49" t="n"/>
      <c r="T52" s="55">
        <f>IF(OR($A52="",$B52=""),"",$A52&amp;"|"&amp;$B52)</f>
        <v/>
      </c>
    </row>
    <row r="53">
      <c r="A53" s="11" t="inlineStr">
        <is>
          <t>BU-C</t>
        </is>
      </c>
      <c r="B53" s="11" t="inlineStr">
        <is>
          <t>FL</t>
        </is>
      </c>
      <c r="C53" s="28" t="n">
        <v>0.592</v>
      </c>
      <c r="D53" s="11" t="inlineStr">
        <is>
          <t>current</t>
        </is>
      </c>
      <c r="E53" s="49" t="n">
        <v>0.05</v>
      </c>
      <c r="F53" s="50" t="n">
        <v>0.9</v>
      </c>
      <c r="G53" s="50" t="n">
        <v>0.89</v>
      </c>
      <c r="H53" s="51" t="n">
        <v>46295</v>
      </c>
      <c r="I53" s="50" t="n">
        <v>0.905</v>
      </c>
      <c r="J53" s="52" t="n"/>
      <c r="K53" s="52" t="n"/>
      <c r="L53" s="53" t="n">
        <v>33000</v>
      </c>
      <c r="M53" s="49" t="n"/>
      <c r="N53" s="54" t="n">
        <v>1</v>
      </c>
      <c r="O53" s="13" t="inlineStr"/>
      <c r="P53" s="11" t="inlineStr">
        <is>
          <t>ON</t>
        </is>
      </c>
      <c r="Q53" s="49" t="n"/>
      <c r="R53" s="49" t="n"/>
      <c r="T53" s="55">
        <f>IF(OR($A53="",$B53=""),"",$A53&amp;"|"&amp;$B53)</f>
        <v/>
      </c>
    </row>
    <row r="54">
      <c r="A54" s="11" t="inlineStr">
        <is>
          <t>BU-C</t>
        </is>
      </c>
      <c r="B54" s="11" t="inlineStr">
        <is>
          <t>GA</t>
        </is>
      </c>
      <c r="C54" s="28" t="n">
        <v>0.62</v>
      </c>
      <c r="D54" s="11" t="inlineStr">
        <is>
          <t>current</t>
        </is>
      </c>
      <c r="E54" s="49" t="n">
        <v>0.05</v>
      </c>
      <c r="F54" s="50" t="n">
        <v>0.9</v>
      </c>
      <c r="G54" s="50" t="n">
        <v>0.89</v>
      </c>
      <c r="H54" s="51" t="n">
        <v>46295</v>
      </c>
      <c r="I54" s="50" t="n">
        <v>0.885</v>
      </c>
      <c r="J54" s="52" t="n"/>
      <c r="K54" s="52" t="n"/>
      <c r="L54" s="53" t="n">
        <v>72000</v>
      </c>
      <c r="M54" s="49" t="n"/>
      <c r="N54" s="54" t="n">
        <v>1</v>
      </c>
      <c r="O54" s="13" t="inlineStr"/>
      <c r="P54" s="11" t="inlineStr">
        <is>
          <t>ON</t>
        </is>
      </c>
      <c r="Q54" s="49" t="n"/>
      <c r="R54" s="49" t="n"/>
      <c r="T54" s="55">
        <f>IF(OR($A54="",$B54=""),"",$A54&amp;"|"&amp;$B54)</f>
        <v/>
      </c>
    </row>
    <row r="55">
      <c r="A55" s="11" t="inlineStr">
        <is>
          <t>BU-C</t>
        </is>
      </c>
      <c r="B55" s="11" t="inlineStr">
        <is>
          <t>IL</t>
        </is>
      </c>
      <c r="C55" s="28" t="n">
        <v>0.604</v>
      </c>
      <c r="D55" s="11" t="inlineStr">
        <is>
          <t>current</t>
        </is>
      </c>
      <c r="E55" s="49" t="n">
        <v>0.065</v>
      </c>
      <c r="F55" s="50" t="n">
        <v>0.9</v>
      </c>
      <c r="G55" s="50" t="n">
        <v>0.89</v>
      </c>
      <c r="H55" s="51" t="n">
        <v>46295</v>
      </c>
      <c r="I55" s="50" t="n">
        <v>0.9</v>
      </c>
      <c r="J55" s="52" t="n"/>
      <c r="K55" s="52" t="n"/>
      <c r="L55" s="53" t="n">
        <v>60000</v>
      </c>
      <c r="M55" s="49" t="n"/>
      <c r="N55" s="54" t="n">
        <v>1</v>
      </c>
      <c r="O55" s="13" t="inlineStr"/>
      <c r="P55" s="11" t="inlineStr">
        <is>
          <t>ON</t>
        </is>
      </c>
      <c r="Q55" s="49" t="n"/>
      <c r="R55" s="49" t="n"/>
      <c r="T55" s="55">
        <f>IF(OR($A55="",$B55=""),"",$A55&amp;"|"&amp;$B55)</f>
        <v/>
      </c>
    </row>
    <row r="56">
      <c r="A56" s="11" t="inlineStr">
        <is>
          <t>BU-C</t>
        </is>
      </c>
      <c r="B56" s="11" t="inlineStr">
        <is>
          <t>IN</t>
        </is>
      </c>
      <c r="C56" s="28" t="n">
        <v>0.588</v>
      </c>
      <c r="D56" s="11" t="inlineStr">
        <is>
          <t>current</t>
        </is>
      </c>
      <c r="E56" s="49" t="n">
        <v>0.05</v>
      </c>
      <c r="F56" s="50" t="n">
        <v>0.9</v>
      </c>
      <c r="G56" s="50" t="n">
        <v>0.89</v>
      </c>
      <c r="H56" s="51" t="n">
        <v>46295</v>
      </c>
      <c r="I56" s="50" t="n">
        <v>0.88</v>
      </c>
      <c r="J56" s="52" t="n"/>
      <c r="K56" s="52" t="n"/>
      <c r="L56" s="53" t="n">
        <v>48000</v>
      </c>
      <c r="M56" s="49" t="n"/>
      <c r="N56" s="54" t="n">
        <v>1</v>
      </c>
      <c r="O56" s="13" t="inlineStr"/>
      <c r="P56" s="11" t="inlineStr">
        <is>
          <t>ON</t>
        </is>
      </c>
      <c r="Q56" s="49" t="n"/>
      <c r="R56" s="49" t="n"/>
      <c r="T56" s="55">
        <f>IF(OR($A56="",$B56=""),"",$A56&amp;"|"&amp;$B56)</f>
        <v/>
      </c>
    </row>
    <row r="57">
      <c r="A57" s="11" t="inlineStr">
        <is>
          <t>BU-C</t>
        </is>
      </c>
      <c r="B57" s="11" t="inlineStr">
        <is>
          <t>IA</t>
        </is>
      </c>
      <c r="C57" s="28" t="n">
        <v>0.616</v>
      </c>
      <c r="D57" s="11" t="inlineStr">
        <is>
          <t>current</t>
        </is>
      </c>
      <c r="E57" s="49" t="n">
        <v>0.05</v>
      </c>
      <c r="F57" s="50" t="n">
        <v>0.9</v>
      </c>
      <c r="G57" s="50" t="n">
        <v>0.89</v>
      </c>
      <c r="H57" s="51" t="n">
        <v>46295</v>
      </c>
      <c r="I57" s="50" t="n">
        <v>0.895</v>
      </c>
      <c r="J57" s="52" t="n"/>
      <c r="K57" s="52" t="n"/>
      <c r="L57" s="53" t="n">
        <v>36000</v>
      </c>
      <c r="M57" s="49" t="n"/>
      <c r="N57" s="54" t="n">
        <v>1</v>
      </c>
      <c r="O57" s="13" t="inlineStr"/>
      <c r="P57" s="11" t="inlineStr">
        <is>
          <t>ON</t>
        </is>
      </c>
      <c r="Q57" s="49" t="n">
        <v>0.1</v>
      </c>
      <c r="R57" s="49" t="n"/>
      <c r="T57" s="55">
        <f>IF(OR($A57="",$B57=""),"",$A57&amp;"|"&amp;$B57)</f>
        <v/>
      </c>
    </row>
    <row r="58">
      <c r="A58" s="11" t="inlineStr">
        <is>
          <t>BU-C</t>
        </is>
      </c>
      <c r="B58" s="11" t="inlineStr">
        <is>
          <t>KY</t>
        </is>
      </c>
      <c r="C58" s="28" t="n">
        <v>0.6</v>
      </c>
      <c r="D58" s="11" t="inlineStr">
        <is>
          <t>current</t>
        </is>
      </c>
      <c r="E58" s="49" t="n">
        <v>0.05</v>
      </c>
      <c r="F58" s="50" t="n">
        <v>0.9</v>
      </c>
      <c r="G58" s="50" t="n">
        <v>0.89</v>
      </c>
      <c r="H58" s="51" t="n">
        <v>46295</v>
      </c>
      <c r="I58" s="50" t="n">
        <v>0.91</v>
      </c>
      <c r="J58" s="52" t="n"/>
      <c r="K58" s="52" t="n"/>
      <c r="L58" s="53" t="n">
        <v>24000</v>
      </c>
      <c r="M58" s="49" t="n"/>
      <c r="N58" s="54" t="n">
        <v>1</v>
      </c>
      <c r="O58" s="13" t="inlineStr"/>
      <c r="P58" s="11" t="inlineStr">
        <is>
          <t>ON</t>
        </is>
      </c>
      <c r="Q58" s="49" t="n"/>
      <c r="R58" s="49" t="n"/>
      <c r="T58" s="55">
        <f>IF(OR($A58="",$B58=""),"",$A58&amp;"|"&amp;$B58)</f>
        <v/>
      </c>
    </row>
    <row r="59">
      <c r="A59" s="11" t="inlineStr">
        <is>
          <t>BU-C</t>
        </is>
      </c>
      <c r="B59" s="11" t="inlineStr">
        <is>
          <t>MD</t>
        </is>
      </c>
      <c r="C59" s="28" t="n">
        <v>0.584</v>
      </c>
      <c r="D59" s="11" t="inlineStr">
        <is>
          <t>current</t>
        </is>
      </c>
      <c r="E59" s="49" t="n">
        <v>0.05</v>
      </c>
      <c r="F59" s="50" t="n">
        <v>0.9</v>
      </c>
      <c r="G59" s="50" t="n">
        <v>0.89</v>
      </c>
      <c r="H59" s="51" t="n">
        <v>46295</v>
      </c>
      <c r="I59" s="50" t="n">
        <v>0.89</v>
      </c>
      <c r="J59" s="52" t="n"/>
      <c r="K59" s="52" t="n"/>
      <c r="L59" s="53" t="n">
        <v>63000</v>
      </c>
      <c r="M59" s="49" t="n"/>
      <c r="N59" s="54" t="n">
        <v>1</v>
      </c>
      <c r="O59" s="13" t="inlineStr"/>
      <c r="P59" s="11" t="inlineStr">
        <is>
          <t>ON</t>
        </is>
      </c>
      <c r="Q59" s="49" t="n"/>
      <c r="R59" s="49" t="n"/>
      <c r="T59" s="55">
        <f>IF(OR($A59="",$B59=""),"",$A59&amp;"|"&amp;$B59)</f>
        <v/>
      </c>
    </row>
    <row r="60">
      <c r="A60" s="11" t="inlineStr">
        <is>
          <t>BU-C</t>
        </is>
      </c>
      <c r="B60" s="11" t="inlineStr">
        <is>
          <t>MI</t>
        </is>
      </c>
      <c r="C60" s="28" t="n">
        <v>0.612</v>
      </c>
      <c r="D60" s="11" t="inlineStr">
        <is>
          <t>current</t>
        </is>
      </c>
      <c r="E60" s="49" t="n">
        <v>0.05</v>
      </c>
      <c r="F60" s="50" t="n">
        <v>0.9</v>
      </c>
      <c r="G60" s="50" t="n">
        <v>0.89</v>
      </c>
      <c r="H60" s="51" t="n">
        <v>46295</v>
      </c>
      <c r="I60" s="50" t="n">
        <v>0.905</v>
      </c>
      <c r="J60" s="52" t="n"/>
      <c r="K60" s="52" t="n"/>
      <c r="L60" s="53" t="n">
        <v>51000</v>
      </c>
      <c r="M60" s="49" t="n"/>
      <c r="N60" s="54" t="n">
        <v>1</v>
      </c>
      <c r="O60" s="13" t="inlineStr"/>
      <c r="P60" s="11" t="inlineStr">
        <is>
          <t>ON</t>
        </is>
      </c>
      <c r="Q60" s="49" t="n"/>
      <c r="R60" s="49" t="n"/>
      <c r="T60" s="55">
        <f>IF(OR($A60="",$B60=""),"",$A60&amp;"|"&amp;$B60)</f>
        <v/>
      </c>
    </row>
    <row r="61">
      <c r="A61" s="11" t="inlineStr">
        <is>
          <t>BU-C</t>
        </is>
      </c>
      <c r="B61" s="11" t="inlineStr">
        <is>
          <t>MN</t>
        </is>
      </c>
      <c r="C61" s="28" t="n">
        <v>0.596</v>
      </c>
      <c r="D61" s="11" t="inlineStr">
        <is>
          <t>current</t>
        </is>
      </c>
      <c r="E61" s="49" t="n">
        <v>0.05</v>
      </c>
      <c r="F61" s="50" t="n">
        <v>0.9</v>
      </c>
      <c r="G61" s="50" t="n">
        <v>0.89</v>
      </c>
      <c r="H61" s="51" t="n">
        <v>46295</v>
      </c>
      <c r="I61" s="50" t="n">
        <v>0.885</v>
      </c>
      <c r="J61" s="52" t="n"/>
      <c r="K61" s="52" t="n"/>
      <c r="L61" s="53" t="n">
        <v>39000</v>
      </c>
      <c r="M61" s="49" t="n"/>
      <c r="N61" s="54" t="n">
        <v>1</v>
      </c>
      <c r="O61" s="13" t="inlineStr"/>
      <c r="P61" s="11" t="inlineStr">
        <is>
          <t>ON</t>
        </is>
      </c>
      <c r="Q61" s="49" t="n"/>
      <c r="R61" s="49" t="n"/>
      <c r="T61" s="55">
        <f>IF(OR($A61="",$B61=""),"",$A61&amp;"|"&amp;$B61)</f>
        <v/>
      </c>
    </row>
    <row r="62">
      <c r="A62" s="11" t="inlineStr">
        <is>
          <t>BU-C</t>
        </is>
      </c>
      <c r="B62" s="11" t="inlineStr">
        <is>
          <t>MO</t>
        </is>
      </c>
      <c r="C62" s="28" t="n">
        <v>0.58</v>
      </c>
      <c r="D62" s="11" t="inlineStr">
        <is>
          <t>current</t>
        </is>
      </c>
      <c r="E62" s="49" t="n">
        <v>0.05</v>
      </c>
      <c r="F62" s="50" t="n">
        <v>0.9</v>
      </c>
      <c r="G62" s="50" t="n">
        <v>0.89</v>
      </c>
      <c r="H62" s="51" t="n">
        <v>46295</v>
      </c>
      <c r="I62" s="50" t="n">
        <v>0.9</v>
      </c>
      <c r="J62" s="52" t="n"/>
      <c r="K62" s="52" t="n"/>
      <c r="L62" s="53" t="n">
        <v>27000</v>
      </c>
      <c r="M62" s="49" t="n"/>
      <c r="N62" s="54" t="n">
        <v>1</v>
      </c>
      <c r="O62" s="13" t="inlineStr"/>
      <c r="P62" s="11" t="inlineStr">
        <is>
          <t>ON</t>
        </is>
      </c>
      <c r="Q62" s="49" t="n"/>
      <c r="R62" s="49" t="n"/>
      <c r="T62" s="55">
        <f>IF(OR($A62="",$B62=""),"",$A62&amp;"|"&amp;$B62)</f>
        <v/>
      </c>
    </row>
    <row r="63">
      <c r="A63" s="11" t="inlineStr">
        <is>
          <t>BU-C</t>
        </is>
      </c>
      <c r="B63" s="11" t="inlineStr">
        <is>
          <t>NC</t>
        </is>
      </c>
      <c r="C63" s="28" t="n">
        <v>0.608</v>
      </c>
      <c r="D63" s="11" t="inlineStr">
        <is>
          <t>current</t>
        </is>
      </c>
      <c r="E63" s="49" t="n">
        <v>0.05</v>
      </c>
      <c r="F63" s="50" t="n">
        <v>0.9</v>
      </c>
      <c r="G63" s="50" t="n">
        <v>0.89</v>
      </c>
      <c r="H63" s="51" t="n">
        <v>46295</v>
      </c>
      <c r="I63" s="50" t="n">
        <v>0.88</v>
      </c>
      <c r="J63" s="52" t="n"/>
      <c r="K63" s="52" t="n"/>
      <c r="L63" s="53" t="n">
        <v>66000</v>
      </c>
      <c r="M63" s="49" t="n"/>
      <c r="N63" s="54" t="n">
        <v>1</v>
      </c>
      <c r="O63" s="13" t="inlineStr"/>
      <c r="P63" s="11" t="inlineStr">
        <is>
          <t>ON</t>
        </is>
      </c>
      <c r="Q63" s="49" t="n"/>
      <c r="R63" s="49" t="n"/>
      <c r="T63" s="55">
        <f>IF(OR($A63="",$B63=""),"",$A63&amp;"|"&amp;$B63)</f>
        <v/>
      </c>
    </row>
    <row r="64">
      <c r="A64" s="11" t="inlineStr">
        <is>
          <t>BU-C</t>
        </is>
      </c>
      <c r="B64" s="11" t="inlineStr">
        <is>
          <t>NJ</t>
        </is>
      </c>
      <c r="C64" s="28" t="n">
        <v>0.592</v>
      </c>
      <c r="D64" s="11" t="inlineStr">
        <is>
          <t>current</t>
        </is>
      </c>
      <c r="E64" s="49" t="n">
        <v>0.05</v>
      </c>
      <c r="F64" s="50" t="n">
        <v>0.9</v>
      </c>
      <c r="G64" s="50" t="n">
        <v>0.89</v>
      </c>
      <c r="H64" s="51" t="n">
        <v>46295</v>
      </c>
      <c r="I64" s="50" t="n">
        <v>0.895</v>
      </c>
      <c r="J64" s="52" t="n"/>
      <c r="K64" s="52" t="n"/>
      <c r="L64" s="53" t="n">
        <v>54000</v>
      </c>
      <c r="M64" s="49" t="n"/>
      <c r="N64" s="54" t="n">
        <v>1</v>
      </c>
      <c r="O64" s="13" t="inlineStr"/>
      <c r="P64" s="11" t="inlineStr">
        <is>
          <t>ON</t>
        </is>
      </c>
      <c r="Q64" s="49" t="n"/>
      <c r="R64" s="49" t="n"/>
      <c r="T64" s="55">
        <f>IF(OR($A64="",$B64=""),"",$A64&amp;"|"&amp;$B64)</f>
        <v/>
      </c>
    </row>
    <row r="65">
      <c r="A65" s="11" t="inlineStr">
        <is>
          <t>BU-C</t>
        </is>
      </c>
      <c r="B65" s="11" t="inlineStr">
        <is>
          <t>NY</t>
        </is>
      </c>
      <c r="C65" s="28" t="n">
        <v>0.62</v>
      </c>
      <c r="D65" s="11" t="inlineStr">
        <is>
          <t>current</t>
        </is>
      </c>
      <c r="E65" s="49" t="n">
        <v>0.05</v>
      </c>
      <c r="F65" s="50" t="n">
        <v>0.9</v>
      </c>
      <c r="G65" s="50" t="n">
        <v>0.89</v>
      </c>
      <c r="H65" s="51" t="n">
        <v>46295</v>
      </c>
      <c r="I65" s="50" t="n">
        <v>0.91</v>
      </c>
      <c r="J65" s="52" t="n"/>
      <c r="K65" s="52" t="n"/>
      <c r="L65" s="53" t="n">
        <v>42000</v>
      </c>
      <c r="M65" s="49" t="n"/>
      <c r="N65" s="54" t="n">
        <v>1</v>
      </c>
      <c r="O65" s="13" t="inlineStr"/>
      <c r="P65" s="11" t="inlineStr">
        <is>
          <t>ON</t>
        </is>
      </c>
      <c r="Q65" s="49" t="n"/>
      <c r="R65" s="49" t="n"/>
      <c r="T65" s="55">
        <f>IF(OR($A65="",$B65=""),"",$A65&amp;"|"&amp;$B65)</f>
        <v/>
      </c>
    </row>
    <row r="66">
      <c r="A66" s="11" t="inlineStr">
        <is>
          <t>BU-C</t>
        </is>
      </c>
      <c r="B66" s="11" t="inlineStr">
        <is>
          <t>OH</t>
        </is>
      </c>
      <c r="C66" s="28" t="n">
        <v>0.604</v>
      </c>
      <c r="D66" s="11" t="inlineStr">
        <is>
          <t>current</t>
        </is>
      </c>
      <c r="E66" s="49" t="n">
        <v>0.05</v>
      </c>
      <c r="F66" s="50" t="n">
        <v>0.9</v>
      </c>
      <c r="G66" s="50" t="n">
        <v>0.89</v>
      </c>
      <c r="H66" s="51" t="n">
        <v>46295</v>
      </c>
      <c r="I66" s="50" t="n">
        <v>0.89</v>
      </c>
      <c r="J66" s="52" t="n"/>
      <c r="K66" s="52" t="n"/>
      <c r="L66" s="53" t="n">
        <v>30000</v>
      </c>
      <c r="M66" s="49" t="n"/>
      <c r="N66" s="54" t="n">
        <v>1</v>
      </c>
      <c r="O66" s="13" t="inlineStr"/>
      <c r="P66" s="11" t="inlineStr">
        <is>
          <t>ON</t>
        </is>
      </c>
      <c r="Q66" s="49" t="n"/>
      <c r="R66" s="49" t="n"/>
      <c r="T66" s="55">
        <f>IF(OR($A66="",$B66=""),"",$A66&amp;"|"&amp;$B66)</f>
        <v/>
      </c>
    </row>
    <row r="67">
      <c r="A67" s="11" t="inlineStr">
        <is>
          <t>BU-C</t>
        </is>
      </c>
      <c r="B67" s="11" t="inlineStr">
        <is>
          <t>PA</t>
        </is>
      </c>
      <c r="C67" s="28" t="n">
        <v>0.588</v>
      </c>
      <c r="D67" s="11" t="inlineStr">
        <is>
          <t>current</t>
        </is>
      </c>
      <c r="E67" s="49" t="n">
        <v>0.05</v>
      </c>
      <c r="F67" s="50" t="n">
        <v>0.9</v>
      </c>
      <c r="G67" s="50" t="n">
        <v>0.89</v>
      </c>
      <c r="H67" s="51" t="n">
        <v>46295</v>
      </c>
      <c r="I67" s="50" t="n">
        <v>0.905</v>
      </c>
      <c r="J67" s="52" t="n"/>
      <c r="K67" s="52" t="n"/>
      <c r="L67" s="53" t="n">
        <v>69000</v>
      </c>
      <c r="M67" s="49" t="n"/>
      <c r="N67" s="54" t="n">
        <v>1</v>
      </c>
      <c r="O67" s="13" t="inlineStr"/>
      <c r="P67" s="11" t="inlineStr">
        <is>
          <t>ON</t>
        </is>
      </c>
      <c r="Q67" s="49" t="n"/>
      <c r="R67" s="49" t="n"/>
      <c r="T67" s="55">
        <f>IF(OR($A67="",$B67=""),"",$A67&amp;"|"&amp;$B67)</f>
        <v/>
      </c>
    </row>
    <row r="68">
      <c r="A68" s="11" t="inlineStr">
        <is>
          <t>BU-C</t>
        </is>
      </c>
      <c r="B68" s="11" t="inlineStr">
        <is>
          <t>TN</t>
        </is>
      </c>
      <c r="C68" s="28" t="n">
        <v>0.616</v>
      </c>
      <c r="D68" s="11" t="inlineStr">
        <is>
          <t>current</t>
        </is>
      </c>
      <c r="E68" s="49" t="n">
        <v>0.05</v>
      </c>
      <c r="F68" s="50" t="n">
        <v>0.9</v>
      </c>
      <c r="G68" s="50" t="n">
        <v>0.89</v>
      </c>
      <c r="H68" s="51" t="n">
        <v>46295</v>
      </c>
      <c r="I68" s="50" t="n">
        <v>0.885</v>
      </c>
      <c r="J68" s="52" t="n"/>
      <c r="K68" s="52" t="n"/>
      <c r="L68" s="53" t="n">
        <v>57000</v>
      </c>
      <c r="M68" s="49" t="n"/>
      <c r="N68" s="54" t="n">
        <v>1</v>
      </c>
      <c r="O68" s="13" t="inlineStr"/>
      <c r="P68" s="11" t="inlineStr">
        <is>
          <t>ON</t>
        </is>
      </c>
      <c r="Q68" s="49" t="n"/>
      <c r="R68" s="49" t="n"/>
      <c r="T68" s="55">
        <f>IF(OR($A68="",$B68=""),"",$A68&amp;"|"&amp;$B68)</f>
        <v/>
      </c>
    </row>
    <row r="69">
      <c r="A69" s="11" t="inlineStr">
        <is>
          <t>BU-C</t>
        </is>
      </c>
      <c r="B69" s="11" t="inlineStr">
        <is>
          <t>TX</t>
        </is>
      </c>
      <c r="C69" s="28" t="n">
        <v>0.6</v>
      </c>
      <c r="D69" s="11" t="inlineStr">
        <is>
          <t>current</t>
        </is>
      </c>
      <c r="E69" s="49" t="n">
        <v>0.05</v>
      </c>
      <c r="F69" s="50" t="n">
        <v>0.9</v>
      </c>
      <c r="G69" s="50" t="n">
        <v>0.89</v>
      </c>
      <c r="H69" s="51" t="n">
        <v>46295</v>
      </c>
      <c r="I69" s="50" t="n">
        <v>0.9</v>
      </c>
      <c r="J69" s="52" t="n"/>
      <c r="K69" s="52" t="n"/>
      <c r="L69" s="53" t="n">
        <v>45000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Workers Comp</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Waterfall from the indication's projected loss ratio to the CY plan loss ratio for the selected BU x state. All factors trace to the Rate Engine, Mod Engine, and Inputs sheets.</t>
        </is>
      </c>
    </row>
    <row r="4">
      <c r="E4" s="20" t="inlineStr">
        <is>
          <t>Selected:</t>
        </is>
      </c>
      <c r="F4" s="64">
        <f>nr_SelKey</f>
        <v/>
      </c>
      <c r="H4" s="65">
        <f>HYPERLINK("#Control!C7","Change BU/state selection &gt;")</f>
        <v/>
      </c>
    </row>
    <row r="5">
      <c r="B5" s="3" t="inlineStr">
        <is>
          <t>Selected combo inputs (tbl_LR via INDEX/MATCH on the BU|State key)</t>
        </is>
      </c>
      <c r="E5" s="20" t="inlineStr">
        <is>
          <t>row in tbl_LR</t>
        </is>
      </c>
      <c r="F5" s="61">
        <f>IF(nr_SelOK,MATCH(nr_SelKey,lr_key,0),0)</f>
        <v/>
      </c>
    </row>
    <row r="6">
      <c r="B6" s="20" t="inlineStr">
        <is>
          <t>Business unit</t>
        </is>
      </c>
      <c r="C6" s="15">
        <f>nr_SelBU</f>
        <v/>
      </c>
    </row>
    <row r="7">
      <c r="B7" s="20" t="inlineStr">
        <is>
          <t>State</t>
        </is>
      </c>
      <c r="C7" s="15">
        <f>nr_SelState</f>
        <v/>
      </c>
    </row>
    <row r="8">
      <c r="B8" s="20" t="inlineStr">
        <is>
          <t>Projected LR (as input)</t>
        </is>
      </c>
      <c r="C8" s="99">
        <f>IF($F$5=0,0,N(INDEX(lr_lrproj,$F$5)))</f>
        <v/>
      </c>
    </row>
    <row r="9">
      <c r="B9" s="20" t="inlineStr">
        <is>
          <t>LR basis</t>
        </is>
      </c>
      <c r="C9" s="72">
        <f>IF($F$5=0,"current",INDEX(lr_basis,$F$5)&amp;"")</f>
        <v/>
      </c>
    </row>
    <row r="10">
      <c r="B10" s="20" t="inlineStr">
        <is>
          <t>Indication selected change (s)</t>
        </is>
      </c>
      <c r="C10" s="99">
        <f>IF($F$5=0,0,N(INDEX(lr_s,$F$5)))</f>
        <v/>
      </c>
    </row>
    <row r="11">
      <c r="B11" s="20" t="inlineStr">
        <is>
          <t>LR at current rate level</t>
        </is>
      </c>
      <c r="C11" s="99">
        <f>IF(nr_Basis="proposed",nr_LRproj*(1+nr_SelS),nr_LRproj)</f>
        <v/>
      </c>
    </row>
    <row r="12">
      <c r="B12" s="20" t="inlineStr">
        <is>
          <t>Mod assumed in indication (M_ind)</t>
        </is>
      </c>
      <c r="C12" s="90">
        <f>IF($F$5=0,1,IF(N(INDEX(lr_mind,$F$5))=0,1,INDEX(lr_mind,$F$5)))</f>
        <v/>
      </c>
    </row>
    <row r="13">
      <c r="B13" s="20" t="inlineStr">
        <is>
          <t>Current avg written mod (M_0)</t>
        </is>
      </c>
      <c r="C13" s="90">
        <f>IF($F$5=0,1,IF(N(INDEX(lr_m0,$F$5))=0,1,INDEX(lr_m0,$F$5)))</f>
        <v/>
      </c>
    </row>
    <row r="14">
      <c r="B14" s="20" t="inlineStr">
        <is>
          <t>Current mod as-of date (close of day)</t>
        </is>
      </c>
      <c r="C14" s="100">
        <f>IF($F$5=0,DATE(nr_PlanYear-1,10,1),IF(N(INDEX(lr_m0asof,$F$5))=0,DATE(nr_PlanYear-1,10,1),INDEX(lr_m0asof,$F$5)))</f>
        <v/>
      </c>
    </row>
    <row r="15">
      <c r="B15" s="20" t="inlineStr">
        <is>
          <t>Projected mod, end of plan yr (M_1)</t>
        </is>
      </c>
      <c r="C15" s="90">
        <f>IF($F$5=0,1,IF(N(INDEX(lr_m1,$F$5))=0,1,INDEX(lr_m1,$F$5)))</f>
        <v/>
      </c>
    </row>
    <row r="16">
      <c r="B16" s="20" t="inlineStr">
        <is>
          <t>Mod ~1 yr before as-of (M_prior; 0 = not given)</t>
        </is>
      </c>
      <c r="C16" s="90">
        <f>IF($F$5=0,0,N(INDEX(lr_mprior,$F$5)))</f>
        <v/>
      </c>
    </row>
    <row r="17">
      <c r="B17" s="20" t="inlineStr">
        <is>
          <t>Projected mod, end plan yr+1 (M_2; 0 = use M_1)</t>
        </is>
      </c>
      <c r="C17" s="90">
        <f>IF($F$5=0,0,N(INDEX(lr_m2,$F$5)))</f>
        <v/>
      </c>
    </row>
    <row r="18">
      <c r="B18" s="20" t="inlineStr">
        <is>
          <t>Net trend (P+1 view)</t>
        </is>
      </c>
      <c r="C18" s="99">
        <f>IF($F$5=0,N(nr_TrendDefault),IF(ISBLANK(INDEX(lr_trend,$F$5)),N(nr_TrendDefault),INDEX(lr_trend,$F$5)))</f>
        <v/>
      </c>
    </row>
    <row r="19">
      <c r="B19" s="20" t="inlineStr">
        <is>
          <t>Other adjustment factor (A_other)</t>
        </is>
      </c>
      <c r="C19" s="67">
        <f>IF($F$5=0,1,IF(N(INDEX(lr_aother,$F$5))=0,1,INDEX(lr_aother,$F$5)))</f>
        <v/>
      </c>
      <c r="D19" s="101">
        <f>IF(AND(nr_AOther&lt;&gt;1,nr_AOtherLbl=""),"WARNING: A_other &lt;&gt; 1 requires a label","")</f>
        <v/>
      </c>
    </row>
    <row r="20">
      <c r="B20" s="20" t="inlineStr">
        <is>
          <t>Reason for other adjustment</t>
        </is>
      </c>
      <c r="C20" s="72">
        <f>IF($F$5=0,"",INDEX(lr_aotherlbl,$F$5)&amp;"")</f>
        <v/>
      </c>
    </row>
    <row r="21">
      <c r="B21" s="20" t="inlineStr">
        <is>
          <t>Mod adjustment (combo row)</t>
        </is>
      </c>
      <c r="C21" s="72">
        <f>IF($F$5=0,"ON",IF(INDEX(lr_modadj,$F$5)="OFF","OFF","ON"))</f>
        <v/>
      </c>
    </row>
    <row r="22">
      <c r="B22" s="20" t="inlineStr">
        <is>
          <t>Mod adjustment effective</t>
        </is>
      </c>
      <c r="C22" s="72">
        <f>IF(AND(nr_ModAdjMaster="ON",nr_ModAdjRow="ON"),"ON","OFF")</f>
        <v/>
      </c>
    </row>
    <row r="23">
      <c r="B23" s="20" t="inlineStr">
        <is>
          <t>Net rate selection active?</t>
        </is>
      </c>
      <c r="C23" s="72">
        <f>IF($F$5=0,FALSE,NOT(ISBLANK(INDEX(lr_netp,$F$5))))</f>
        <v/>
      </c>
    </row>
    <row r="24">
      <c r="B24" s="20" t="inlineStr">
        <is>
          <t>Net selection x (P)</t>
        </is>
      </c>
      <c r="C24" s="99">
        <f>IF($F$5=0,0,N(INDEX(lr_netp,$F$5)))</f>
        <v/>
      </c>
    </row>
    <row r="25">
      <c r="B25" s="20" t="inlineStr">
        <is>
          <t>Net selection x (P+1; blank = carry)</t>
        </is>
      </c>
      <c r="C25" s="99">
        <f>IF($F$5=0,0,IF(ISBLANK(INDEX(lr_netp1,$F$5)),N(INDEX(lr_netp,$F$5)),N(INDEX(lr_netp1,$F$5))))</f>
        <v/>
      </c>
    </row>
    <row r="28">
      <c r="B28" s="3" t="inlineStr">
        <is>
          <t>The bridge — plan year and the indicative following year</t>
        </is>
      </c>
    </row>
    <row r="29">
      <c r="B29" s="47" t="inlineStr">
        <is>
          <t>Step</t>
        </is>
      </c>
      <c r="C29" s="47">
        <f>"Factor "&amp;nr_PlanYear</f>
        <v/>
      </c>
      <c r="D29" s="47">
        <f>"LR after ("&amp;nr_PlanYear&amp;")"</f>
        <v/>
      </c>
      <c r="E29" s="47">
        <f>"Step ("&amp;nr_PlanYear&amp;")"</f>
        <v/>
      </c>
      <c r="F29" s="47">
        <f>"Factor "&amp;(nr_PlanYear+1)</f>
        <v/>
      </c>
      <c r="G29" s="47">
        <f>"LR after ("&amp;(nr_PlanYear+1)&amp;")"</f>
        <v/>
      </c>
      <c r="H29" s="47">
        <f>"Step ("&amp;(nr_PlanYear+1)&amp;")"</f>
        <v/>
      </c>
    </row>
    <row r="30">
      <c r="B30" s="20" t="inlineStr">
        <is>
          <t>Projected LR (as input)</t>
        </is>
      </c>
      <c r="D30" s="102">
        <f>nr_LRproj</f>
        <v/>
      </c>
      <c r="G30" s="102">
        <f>nr_LRproj</f>
        <v/>
      </c>
    </row>
    <row r="31">
      <c r="B31" s="20" t="inlineStr">
        <is>
          <t>Convert to current rate level x(1+s)</t>
        </is>
      </c>
      <c r="C31" s="103">
        <f>IF(nr_Basis="proposed",1+nr_SelS,1)</f>
        <v/>
      </c>
      <c r="D31" s="102">
        <f>$D30*$C31</f>
        <v/>
      </c>
      <c r="E31" s="104">
        <f>($D31-$D30)*100</f>
        <v/>
      </c>
      <c r="F31" s="103">
        <f>IF(nr_Basis="proposed",1+nr_SelS,1)</f>
        <v/>
      </c>
      <c r="G31" s="102">
        <f>$G30*$F31</f>
        <v/>
      </c>
      <c r="H31" s="104">
        <f>($G31-$G30)*100</f>
        <v/>
      </c>
    </row>
    <row r="32">
      <c r="B32" s="20" t="inlineStr">
        <is>
          <t>Net trend (applies to 2028 only)</t>
        </is>
      </c>
      <c r="C32" s="103">
        <f>1</f>
        <v/>
      </c>
      <c r="D32" s="102">
        <f>$D31*$C32</f>
        <v/>
      </c>
      <c r="E32" s="104">
        <f>($D32-$D31)*100</f>
        <v/>
      </c>
      <c r="F32" s="103">
        <f>1+nr_Trend</f>
        <v/>
      </c>
      <c r="G32" s="102">
        <f>$G31*$F32</f>
        <v/>
      </c>
      <c r="H32" s="104">
        <f>($G32-$G31)*100</f>
        <v/>
      </c>
    </row>
    <row r="33">
      <c r="B33" s="20">
        <f>IF(nr_NetMode,"Rate + price earn-in (net)  A_net","Rate earn-in  A_rate")</f>
        <v/>
      </c>
      <c r="C33" s="103">
        <f>nr_Arate_P</f>
        <v/>
      </c>
      <c r="D33" s="102">
        <f>$D32*$C33</f>
        <v/>
      </c>
      <c r="E33" s="104">
        <f>($D33-$D32)*100</f>
        <v/>
      </c>
      <c r="F33" s="103">
        <f>nr_Arate_P1</f>
        <v/>
      </c>
      <c r="G33" s="102">
        <f>$G32*$F33</f>
        <v/>
      </c>
      <c r="H33" s="104">
        <f>($G33-$G32)*100</f>
        <v/>
      </c>
    </row>
    <row r="34">
      <c r="B34" s="20">
        <f>IF(nr_NetMode,"Mod drift (merged into A_net)","Schedule mod drift  A_mod")</f>
        <v/>
      </c>
      <c r="C34" s="103">
        <f>nr_Amod_P</f>
        <v/>
      </c>
      <c r="D34" s="102">
        <f>$D33*$C34</f>
        <v/>
      </c>
      <c r="E34" s="104">
        <f>($D34-$D33)*100</f>
        <v/>
      </c>
      <c r="F34" s="103">
        <f>nr_Amod_P1</f>
        <v/>
      </c>
      <c r="G34" s="102">
        <f>$G33*$F34</f>
        <v/>
      </c>
      <c r="H34" s="104">
        <f>($G34-$G33)*100</f>
        <v/>
      </c>
    </row>
    <row r="35">
      <c r="B35" s="20" t="inlineStr">
        <is>
          <t>Other  A_other</t>
        </is>
      </c>
      <c r="C35" s="103">
        <f>nr_AOther</f>
        <v/>
      </c>
      <c r="D35" s="102">
        <f>$D34*$C35</f>
        <v/>
      </c>
      <c r="E35" s="104">
        <f>($D35-$D34)*100</f>
        <v/>
      </c>
      <c r="F35" s="103">
        <f>nr_AOther</f>
        <v/>
      </c>
      <c r="G35" s="102">
        <f>$G34*$F35</f>
        <v/>
      </c>
      <c r="H35" s="104">
        <f>($G35-$G34)*100</f>
        <v/>
      </c>
    </row>
    <row r="36">
      <c r="B36" s="8" t="inlineStr">
        <is>
          <t>CY plan loss ratio</t>
        </is>
      </c>
      <c r="D36" s="105">
        <f>$D35</f>
        <v/>
      </c>
      <c r="E36" s="106">
        <f>($D36-$D30)*100</f>
        <v/>
      </c>
      <c r="G36" s="105">
        <f>$G35</f>
        <v/>
      </c>
      <c r="H36" s="106">
        <f>($G36-$G30)*100</f>
        <v/>
      </c>
    </row>
    <row r="38">
      <c r="B38" s="26" t="inlineStr">
        <is>
          <t>The following-year column is indicative: it holds the indication fixed and applies the net trend input once (default 0.0% — a visible caveat, not a forecast).</t>
        </is>
      </c>
    </row>
    <row r="40">
      <c r="B40" s="3" t="inlineStr">
        <is>
          <t>Communication metrics</t>
        </is>
      </c>
    </row>
    <row r="41">
      <c r="B41" s="20" t="inlineStr">
        <is>
          <t>CY earned rate chg vs indication level</t>
        </is>
      </c>
      <c r="D41" s="107">
        <f>nr_EChgVsInd</f>
        <v/>
      </c>
    </row>
    <row r="42">
      <c r="B42" s="20" t="inlineStr">
        <is>
          <t>Earned rate chg 2026 -&gt; 2027</t>
        </is>
      </c>
      <c r="D42" s="107">
        <f>nr_YoY_P</f>
        <v/>
      </c>
    </row>
    <row r="43">
      <c r="B43" s="20" t="inlineStr">
        <is>
          <t>Earned rate chg 2027 -&gt; 2028 (carryover + new actions)</t>
        </is>
      </c>
      <c r="D43" s="107">
        <f>nr_YoY_P1</f>
        <v/>
      </c>
    </row>
    <row r="57">
      <c r="B57" s="46" t="inlineStr">
        <is>
          <t>Waterfall chart data (formulas — do not edit)</t>
        </is>
      </c>
    </row>
    <row r="58">
      <c r="B58" s="6" t="inlineStr">
        <is>
          <t>Step</t>
        </is>
      </c>
      <c r="C58" s="6" t="inlineStr">
        <is>
          <t>base</t>
        </is>
      </c>
      <c r="D58" s="6" t="inlineStr">
        <is>
          <t>up</t>
        </is>
      </c>
      <c r="E58" s="6" t="inlineStr">
        <is>
          <t>down</t>
        </is>
      </c>
      <c r="F58" s="6" t="inlineStr">
        <is>
          <t>total</t>
        </is>
      </c>
    </row>
    <row r="59">
      <c r="B59" s="6" t="inlineStr">
        <is>
          <t>Projected LR</t>
        </is>
      </c>
      <c r="C59" s="58">
        <f>0</f>
        <v/>
      </c>
      <c r="D59" s="58">
        <f>0</f>
        <v/>
      </c>
      <c r="E59" s="58">
        <f>0</f>
        <v/>
      </c>
      <c r="F59" s="58">
        <f>$D$30</f>
        <v/>
      </c>
    </row>
    <row r="60">
      <c r="B60" s="6" t="inlineStr">
        <is>
          <t>Basis</t>
        </is>
      </c>
      <c r="C60" s="58">
        <f>MIN($D$30,$D$31)</f>
        <v/>
      </c>
      <c r="D60" s="58">
        <f>MAX(0,$D$31-$D$30)</f>
        <v/>
      </c>
      <c r="E60" s="58">
        <f>MAX(0,$D$30-$D$31)</f>
        <v/>
      </c>
      <c r="F60" s="58">
        <f>0</f>
        <v/>
      </c>
    </row>
    <row r="61">
      <c r="B61" s="6" t="inlineStr">
        <is>
          <t>Rate earn-in</t>
        </is>
      </c>
      <c r="C61" s="58">
        <f>MIN($D$32,$D$33)</f>
        <v/>
      </c>
      <c r="D61" s="58">
        <f>MAX(0,$D$33-$D$32)</f>
        <v/>
      </c>
      <c r="E61" s="58">
        <f>MAX(0,$D$32-$D$33)</f>
        <v/>
      </c>
      <c r="F61" s="58">
        <f>0</f>
        <v/>
      </c>
    </row>
    <row r="62">
      <c r="B62" s="6" t="inlineStr">
        <is>
          <t>Mod drift</t>
        </is>
      </c>
      <c r="C62" s="58">
        <f>MIN($D$33,$D$34)</f>
        <v/>
      </c>
      <c r="D62" s="58">
        <f>MAX(0,$D$34-$D$33)</f>
        <v/>
      </c>
      <c r="E62" s="58">
        <f>MAX(0,$D$33-$D$34)</f>
        <v/>
      </c>
      <c r="F62" s="58">
        <f>0</f>
        <v/>
      </c>
    </row>
    <row r="63">
      <c r="B63" s="6" t="inlineStr">
        <is>
          <t>Other</t>
        </is>
      </c>
      <c r="C63" s="58">
        <f>MIN($D$34,$D$35)</f>
        <v/>
      </c>
      <c r="D63" s="58">
        <f>MAX(0,$D$35-$D$34)</f>
        <v/>
      </c>
      <c r="E63" s="58">
        <f>MAX(0,$D$34-$D$35)</f>
        <v/>
      </c>
      <c r="F63" s="58">
        <f>0</f>
        <v/>
      </c>
    </row>
    <row r="64">
      <c r="B64" s="6" t="inlineStr">
        <is>
          <t>CY 2027 plan LR</t>
        </is>
      </c>
      <c r="C64" s="58">
        <f>0</f>
        <v/>
      </c>
      <c r="D64" s="58">
        <f>0</f>
        <v/>
      </c>
      <c r="E64" s="58">
        <f>0</f>
        <v/>
      </c>
      <c r="F64" s="58">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8">
        <f>"Q1 "&amp;nr_PlanYear</f>
        <v/>
      </c>
      <c r="C49" s="103">
        <f>SUM('Rate Engine'!AH$66:AJ$66)/SUM('Rate Engine'!AH$67:AJ$67)</f>
        <v/>
      </c>
      <c r="D49" s="103">
        <f>SUM('Rate Engine'!V$66:X$66)/SUM('Rate Engine'!V$67:X$67)</f>
        <v/>
      </c>
      <c r="E49" s="109">
        <f>$C49/$D49-1</f>
        <v/>
      </c>
      <c r="F49" s="39">
        <f>'Rate Engine'!$N$43</f>
        <v/>
      </c>
      <c r="G49" s="109">
        <f>$F49/$C49-1</f>
        <v/>
      </c>
      <c r="H49" s="103">
        <f>IF(nr_NetMode,$C49,$C49*SUM('Rate Engine'!AH$73:AJ$73)/SUM('Rate Engine'!AH$67:AJ$67)/nr_MInd)</f>
        <v/>
      </c>
      <c r="I49" s="110">
        <f>IF(nr_NetMode,$D49,$D49*SUM('Rate Engine'!V$73:X$73)/SUM('Rate Engine'!V$67:X$67)/nr_MInd)</f>
        <v/>
      </c>
      <c r="J49" s="109">
        <f>$H49/$I49-1</f>
        <v/>
      </c>
    </row>
    <row r="50">
      <c r="B50" s="108">
        <f>"Q2 "&amp;nr_PlanYear</f>
        <v/>
      </c>
      <c r="C50" s="103">
        <f>SUM('Rate Engine'!AK$66:AM$66)/SUM('Rate Engine'!AK$67:AM$67)</f>
        <v/>
      </c>
      <c r="D50" s="103">
        <f>SUM('Rate Engine'!Y$66:AA$66)/SUM('Rate Engine'!Y$67:AA$67)</f>
        <v/>
      </c>
      <c r="E50" s="109">
        <f>$C50/$D50-1</f>
        <v/>
      </c>
      <c r="F50" s="39">
        <f>'Rate Engine'!$N$46</f>
        <v/>
      </c>
      <c r="G50" s="109">
        <f>$F50/$C50-1</f>
        <v/>
      </c>
      <c r="H50" s="103">
        <f>IF(nr_NetMode,$C50,$C50*SUM('Rate Engine'!AK$73:AM$73)/SUM('Rate Engine'!AK$67:AM$67)/nr_MInd)</f>
        <v/>
      </c>
      <c r="I50" s="110">
        <f>IF(nr_NetMode,$D50,$D50*SUM('Rate Engine'!Y$73:AA$73)/SUM('Rate Engine'!Y$67:AA$67)/nr_MInd)</f>
        <v/>
      </c>
      <c r="J50" s="109">
        <f>$H50/$I50-1</f>
        <v/>
      </c>
    </row>
    <row r="51">
      <c r="B51" s="108">
        <f>"Q3 "&amp;nr_PlanYear</f>
        <v/>
      </c>
      <c r="C51" s="103">
        <f>SUM('Rate Engine'!AN$66:AP$66)/SUM('Rate Engine'!AN$67:AP$67)</f>
        <v/>
      </c>
      <c r="D51" s="103">
        <f>SUM('Rate Engine'!AB$66:AD$66)/SUM('Rate Engine'!AB$67:AD$67)</f>
        <v/>
      </c>
      <c r="E51" s="109">
        <f>$C51/$D51-1</f>
        <v/>
      </c>
      <c r="F51" s="39">
        <f>'Rate Engine'!$N$49</f>
        <v/>
      </c>
      <c r="G51" s="109">
        <f>$F51/$C51-1</f>
        <v/>
      </c>
      <c r="H51" s="103">
        <f>IF(nr_NetMode,$C51,$C51*SUM('Rate Engine'!AN$73:AP$73)/SUM('Rate Engine'!AN$67:AP$67)/nr_MInd)</f>
        <v/>
      </c>
      <c r="I51" s="110">
        <f>IF(nr_NetMode,$D51,$D51*SUM('Rate Engine'!AB$73:AD$73)/SUM('Rate Engine'!AB$67:AD$67)/nr_MInd)</f>
        <v/>
      </c>
      <c r="J51" s="109">
        <f>$H51/$I51-1</f>
        <v/>
      </c>
    </row>
    <row r="52">
      <c r="B52" s="108">
        <f>"Q4 "&amp;nr_PlanYear</f>
        <v/>
      </c>
      <c r="C52" s="103">
        <f>SUM('Rate Engine'!AQ$66:AS$66)/SUM('Rate Engine'!AQ$67:AS$67)</f>
        <v/>
      </c>
      <c r="D52" s="103">
        <f>SUM('Rate Engine'!AE$66:AG$66)/SUM('Rate Engine'!AE$67:AG$67)</f>
        <v/>
      </c>
      <c r="E52" s="109">
        <f>$C52/$D52-1</f>
        <v/>
      </c>
      <c r="F52" s="39">
        <f>'Rate Engine'!$N$52</f>
        <v/>
      </c>
      <c r="G52" s="109">
        <f>$F52/$C52-1</f>
        <v/>
      </c>
      <c r="H52" s="103">
        <f>IF(nr_NetMode,$C52,$C52*SUM('Rate Engine'!AQ$73:AS$73)/SUM('Rate Engine'!AQ$67:AS$67)/nr_MInd)</f>
        <v/>
      </c>
      <c r="I52" s="110">
        <f>IF(nr_NetMode,$D52,$D52*SUM('Rate Engine'!AE$73:AG$73)/SUM('Rate Engine'!AE$67:AG$67)/nr_MInd)</f>
        <v/>
      </c>
      <c r="J52" s="109">
        <f>$H52/$I52-1</f>
        <v/>
      </c>
    </row>
    <row r="53">
      <c r="B53" s="108">
        <f>"Q1 "&amp;(nr_PlanYear+1)</f>
        <v/>
      </c>
      <c r="C53" s="103">
        <f>SUM('Rate Engine'!AT$66:AV$66)/SUM('Rate Engine'!AT$67:AV$67)</f>
        <v/>
      </c>
      <c r="D53" s="103">
        <f>SUM('Rate Engine'!AH$66:AJ$66)/SUM('Rate Engine'!AH$67:AJ$67)</f>
        <v/>
      </c>
      <c r="E53" s="109">
        <f>$C53/$D53-1</f>
        <v/>
      </c>
      <c r="F53" s="39">
        <f>'Rate Engine'!$N$55</f>
        <v/>
      </c>
      <c r="G53" s="109">
        <f>$F53/$C53-1</f>
        <v/>
      </c>
      <c r="H53" s="103">
        <f>IF(nr_NetMode,$C53,$C53*SUM('Rate Engine'!AT$73:AV$73)/SUM('Rate Engine'!AT$67:AV$67)/nr_MInd)</f>
        <v/>
      </c>
      <c r="I53" s="110">
        <f>IF(nr_NetMode,$D53,$D53*SUM('Rate Engine'!AH$73:AJ$73)/SUM('Rate Engine'!AH$67:AJ$67)/nr_MInd)</f>
        <v/>
      </c>
      <c r="J53" s="109">
        <f>$H53/$I53-1</f>
        <v/>
      </c>
    </row>
    <row r="54">
      <c r="B54" s="108">
        <f>"Q2 "&amp;(nr_PlanYear+1)</f>
        <v/>
      </c>
      <c r="C54" s="103">
        <f>SUM('Rate Engine'!AW$66:AY$66)/SUM('Rate Engine'!AW$67:AY$67)</f>
        <v/>
      </c>
      <c r="D54" s="103">
        <f>SUM('Rate Engine'!AK$66:AM$66)/SUM('Rate Engine'!AK$67:AM$67)</f>
        <v/>
      </c>
      <c r="E54" s="109">
        <f>$C54/$D54-1</f>
        <v/>
      </c>
      <c r="F54" s="39">
        <f>'Rate Engine'!$N$58</f>
        <v/>
      </c>
      <c r="G54" s="109">
        <f>$F54/$C54-1</f>
        <v/>
      </c>
      <c r="H54" s="103">
        <f>IF(nr_NetMode,$C54,$C54*SUM('Rate Engine'!AW$73:AY$73)/SUM('Rate Engine'!AW$67:AY$67)/nr_MInd)</f>
        <v/>
      </c>
      <c r="I54" s="110">
        <f>IF(nr_NetMode,$D54,$D54*SUM('Rate Engine'!AK$73:AM$73)/SUM('Rate Engine'!AK$67:AM$67)/nr_MInd)</f>
        <v/>
      </c>
      <c r="J54" s="109">
        <f>$H54/$I54-1</f>
        <v/>
      </c>
    </row>
    <row r="55">
      <c r="B55" s="108">
        <f>"Q3 "&amp;(nr_PlanYear+1)</f>
        <v/>
      </c>
      <c r="C55" s="103">
        <f>SUM('Rate Engine'!AZ$66:BB$66)/SUM('Rate Engine'!AZ$67:BB$67)</f>
        <v/>
      </c>
      <c r="D55" s="103">
        <f>SUM('Rate Engine'!AN$66:AP$66)/SUM('Rate Engine'!AN$67:AP$67)</f>
        <v/>
      </c>
      <c r="E55" s="109">
        <f>$C55/$D55-1</f>
        <v/>
      </c>
      <c r="F55" s="39">
        <f>'Rate Engine'!$N$61</f>
        <v/>
      </c>
      <c r="G55" s="109">
        <f>$F55/$C55-1</f>
        <v/>
      </c>
      <c r="H55" s="103">
        <f>IF(nr_NetMode,$C55,$C55*SUM('Rate Engine'!AZ$73:BB$73)/SUM('Rate Engine'!AZ$67:BB$67)/nr_MInd)</f>
        <v/>
      </c>
      <c r="I55" s="110">
        <f>IF(nr_NetMode,$D55,$D55*SUM('Rate Engine'!AN$73:AP$73)/SUM('Rate Engine'!AN$67:AP$67)/nr_MInd)</f>
        <v/>
      </c>
      <c r="J55" s="109">
        <f>$H55/$I55-1</f>
        <v/>
      </c>
    </row>
    <row r="56">
      <c r="B56" s="108">
        <f>"Q4 "&amp;(nr_PlanYear+1)</f>
        <v/>
      </c>
      <c r="C56" s="103">
        <f>SUM('Rate Engine'!BC$66:BE$66)/SUM('Rate Engine'!BC$67:BE$67)</f>
        <v/>
      </c>
      <c r="D56" s="103">
        <f>SUM('Rate Engine'!AQ$66:AS$66)/SUM('Rate Engine'!AQ$67:AS$67)</f>
        <v/>
      </c>
      <c r="E56" s="109">
        <f>$C56/$D56-1</f>
        <v/>
      </c>
      <c r="F56" s="39">
        <f>'Rate Engine'!$N$64</f>
        <v/>
      </c>
      <c r="G56" s="109">
        <f>$F56/$C56-1</f>
        <v/>
      </c>
      <c r="H56" s="103">
        <f>IF(nr_NetMode,$C56,$C56*SUM('Rate Engine'!BC$73:BE$73)/SUM('Rate Engine'!BC$67:BE$67)/nr_MInd)</f>
        <v/>
      </c>
      <c r="I56" s="110">
        <f>IF(nr_NetMode,$D56,$D56*SUM('Rate Engine'!AQ$73:AS$73)/SUM('Rate Engine'!AQ$67:AS$67)/nr_MInd)</f>
        <v/>
      </c>
      <c r="J56" s="109">
        <f>$H56/$I56-1</f>
        <v/>
      </c>
    </row>
    <row r="58">
      <c r="B58" s="26"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6" t="inlineStr">
        <is>
          <t>Chart data (formulas — do not edit)</t>
        </is>
      </c>
    </row>
    <row r="63">
      <c r="B63" s="6" t="inlineStr">
        <is>
          <t>Month</t>
        </is>
      </c>
      <c r="C63" s="6" t="inlineStr">
        <is>
          <t>Written idx W</t>
        </is>
      </c>
      <c r="D63" s="6" t="inlineStr">
        <is>
          <t>Earned idx E_m</t>
        </is>
      </c>
      <c r="E63" s="6" t="inlineStr">
        <is>
          <t>Written mod</t>
        </is>
      </c>
      <c r="F63" s="6" t="inlineStr">
        <is>
          <t>Earned mod</t>
        </is>
      </c>
      <c r="G63" s="6" t="inlineStr">
        <is>
          <t>Price idx (written)</t>
        </is>
      </c>
      <c r="H63" s="6" t="inlineStr">
        <is>
          <t>Price idx (earned)</t>
        </is>
      </c>
      <c r="I63" s="6" t="inlineStr">
        <is>
          <t>Plan-year band</t>
        </is>
      </c>
    </row>
    <row r="64">
      <c r="B64" s="111">
        <f>'Rate Engine'!V$16</f>
        <v/>
      </c>
      <c r="C64" s="88">
        <f>'Rate Engine'!$U$29</f>
        <v/>
      </c>
      <c r="D64" s="88">
        <f>'Rate Engine'!V$68</f>
        <v/>
      </c>
      <c r="E64" s="85">
        <f>'Mod Engine'!$E$29</f>
        <v/>
      </c>
      <c r="F64" s="85">
        <f>'Rate Engine'!V$72</f>
        <v/>
      </c>
      <c r="G64" s="88">
        <f>IF(nr_NetMode,$C64,$C64*($E64/nr_MInd))</f>
        <v/>
      </c>
      <c r="H64" s="88">
        <f>IF(OR($D64="",$F64=""),"",IF(nr_NetMode,$D64,$D64*($F64/nr_MInd)))</f>
        <v/>
      </c>
      <c r="I64" s="75">
        <f>IF(YEAR($B64)=nr_PlanYear,1,0)</f>
        <v/>
      </c>
    </row>
    <row r="65">
      <c r="B65" s="111">
        <f>'Rate Engine'!W$16</f>
        <v/>
      </c>
      <c r="C65" s="88">
        <f>'Rate Engine'!$U$30</f>
        <v/>
      </c>
      <c r="D65" s="88">
        <f>'Rate Engine'!W$68</f>
        <v/>
      </c>
      <c r="E65" s="85">
        <f>'Mod Engine'!$E$30</f>
        <v/>
      </c>
      <c r="F65" s="85">
        <f>'Rate Engine'!W$72</f>
        <v/>
      </c>
      <c r="G65" s="88">
        <f>IF(nr_NetMode,$C65,$C65*($E65/nr_MInd))</f>
        <v/>
      </c>
      <c r="H65" s="88">
        <f>IF(OR($D65="",$F65=""),"",IF(nr_NetMode,$D65,$D65*($F65/nr_MInd)))</f>
        <v/>
      </c>
      <c r="I65" s="75">
        <f>IF(YEAR($B65)=nr_PlanYear,1,0)</f>
        <v/>
      </c>
    </row>
    <row r="66">
      <c r="B66" s="111">
        <f>'Rate Engine'!X$16</f>
        <v/>
      </c>
      <c r="C66" s="88">
        <f>'Rate Engine'!$U$31</f>
        <v/>
      </c>
      <c r="D66" s="88">
        <f>'Rate Engine'!X$68</f>
        <v/>
      </c>
      <c r="E66" s="85">
        <f>'Mod Engine'!$E$31</f>
        <v/>
      </c>
      <c r="F66" s="85">
        <f>'Rate Engine'!X$72</f>
        <v/>
      </c>
      <c r="G66" s="88">
        <f>IF(nr_NetMode,$C66,$C66*($E66/nr_MInd))</f>
        <v/>
      </c>
      <c r="H66" s="88">
        <f>IF(OR($D66="",$F66=""),"",IF(nr_NetMode,$D66,$D66*($F66/nr_MInd)))</f>
        <v/>
      </c>
      <c r="I66" s="75">
        <f>IF(YEAR($B66)=nr_PlanYear,1,0)</f>
        <v/>
      </c>
    </row>
    <row r="67">
      <c r="B67" s="111">
        <f>'Rate Engine'!Y$16</f>
        <v/>
      </c>
      <c r="C67" s="88">
        <f>'Rate Engine'!$U$32</f>
        <v/>
      </c>
      <c r="D67" s="88">
        <f>'Rate Engine'!Y$68</f>
        <v/>
      </c>
      <c r="E67" s="85">
        <f>'Mod Engine'!$E$32</f>
        <v/>
      </c>
      <c r="F67" s="85">
        <f>'Rate Engine'!Y$72</f>
        <v/>
      </c>
      <c r="G67" s="88">
        <f>IF(nr_NetMode,$C67,$C67*($E67/nr_MInd))</f>
        <v/>
      </c>
      <c r="H67" s="88">
        <f>IF(OR($D67="",$F67=""),"",IF(nr_NetMode,$D67,$D67*($F67/nr_MInd)))</f>
        <v/>
      </c>
      <c r="I67" s="75">
        <f>IF(YEAR($B67)=nr_PlanYear,1,0)</f>
        <v/>
      </c>
    </row>
    <row r="68">
      <c r="B68" s="111">
        <f>'Rate Engine'!Z$16</f>
        <v/>
      </c>
      <c r="C68" s="88">
        <f>'Rate Engine'!$U$33</f>
        <v/>
      </c>
      <c r="D68" s="88">
        <f>'Rate Engine'!Z$68</f>
        <v/>
      </c>
      <c r="E68" s="85">
        <f>'Mod Engine'!$E$33</f>
        <v/>
      </c>
      <c r="F68" s="85">
        <f>'Rate Engine'!Z$72</f>
        <v/>
      </c>
      <c r="G68" s="88">
        <f>IF(nr_NetMode,$C68,$C68*($E68/nr_MInd))</f>
        <v/>
      </c>
      <c r="H68" s="88">
        <f>IF(OR($D68="",$F68=""),"",IF(nr_NetMode,$D68,$D68*($F68/nr_MInd)))</f>
        <v/>
      </c>
      <c r="I68" s="75">
        <f>IF(YEAR($B68)=nr_PlanYear,1,0)</f>
        <v/>
      </c>
    </row>
    <row r="69">
      <c r="B69" s="111">
        <f>'Rate Engine'!AA$16</f>
        <v/>
      </c>
      <c r="C69" s="88">
        <f>'Rate Engine'!$U$34</f>
        <v/>
      </c>
      <c r="D69" s="88">
        <f>'Rate Engine'!AA$68</f>
        <v/>
      </c>
      <c r="E69" s="85">
        <f>'Mod Engine'!$E$34</f>
        <v/>
      </c>
      <c r="F69" s="85">
        <f>'Rate Engine'!AA$72</f>
        <v/>
      </c>
      <c r="G69" s="88">
        <f>IF(nr_NetMode,$C69,$C69*($E69/nr_MInd))</f>
        <v/>
      </c>
      <c r="H69" s="88">
        <f>IF(OR($D69="",$F69=""),"",IF(nr_NetMode,$D69,$D69*($F69/nr_MInd)))</f>
        <v/>
      </c>
      <c r="I69" s="75">
        <f>IF(YEAR($B69)=nr_PlanYear,1,0)</f>
        <v/>
      </c>
    </row>
    <row r="70">
      <c r="B70" s="111">
        <f>'Rate Engine'!AB$16</f>
        <v/>
      </c>
      <c r="C70" s="88">
        <f>'Rate Engine'!$U$35</f>
        <v/>
      </c>
      <c r="D70" s="88">
        <f>'Rate Engine'!AB$68</f>
        <v/>
      </c>
      <c r="E70" s="85">
        <f>'Mod Engine'!$E$35</f>
        <v/>
      </c>
      <c r="F70" s="85">
        <f>'Rate Engine'!AB$72</f>
        <v/>
      </c>
      <c r="G70" s="88">
        <f>IF(nr_NetMode,$C70,$C70*($E70/nr_MInd))</f>
        <v/>
      </c>
      <c r="H70" s="88">
        <f>IF(OR($D70="",$F70=""),"",IF(nr_NetMode,$D70,$D70*($F70/nr_MInd)))</f>
        <v/>
      </c>
      <c r="I70" s="75">
        <f>IF(YEAR($B70)=nr_PlanYear,1,0)</f>
        <v/>
      </c>
    </row>
    <row r="71">
      <c r="B71" s="111">
        <f>'Rate Engine'!AC$16</f>
        <v/>
      </c>
      <c r="C71" s="88">
        <f>'Rate Engine'!$U$36</f>
        <v/>
      </c>
      <c r="D71" s="88">
        <f>'Rate Engine'!AC$68</f>
        <v/>
      </c>
      <c r="E71" s="85">
        <f>'Mod Engine'!$E$36</f>
        <v/>
      </c>
      <c r="F71" s="85">
        <f>'Rate Engine'!AC$72</f>
        <v/>
      </c>
      <c r="G71" s="88">
        <f>IF(nr_NetMode,$C71,$C71*($E71/nr_MInd))</f>
        <v/>
      </c>
      <c r="H71" s="88">
        <f>IF(OR($D71="",$F71=""),"",IF(nr_NetMode,$D71,$D71*($F71/nr_MInd)))</f>
        <v/>
      </c>
      <c r="I71" s="75">
        <f>IF(YEAR($B71)=nr_PlanYear,1,0)</f>
        <v/>
      </c>
    </row>
    <row r="72">
      <c r="B72" s="111">
        <f>'Rate Engine'!AD$16</f>
        <v/>
      </c>
      <c r="C72" s="88">
        <f>'Rate Engine'!$U$37</f>
        <v/>
      </c>
      <c r="D72" s="88">
        <f>'Rate Engine'!AD$68</f>
        <v/>
      </c>
      <c r="E72" s="85">
        <f>'Mod Engine'!$E$37</f>
        <v/>
      </c>
      <c r="F72" s="85">
        <f>'Rate Engine'!AD$72</f>
        <v/>
      </c>
      <c r="G72" s="88">
        <f>IF(nr_NetMode,$C72,$C72*($E72/nr_MInd))</f>
        <v/>
      </c>
      <c r="H72" s="88">
        <f>IF(OR($D72="",$F72=""),"",IF(nr_NetMode,$D72,$D72*($F72/nr_MInd)))</f>
        <v/>
      </c>
      <c r="I72" s="75">
        <f>IF(YEAR($B72)=nr_PlanYear,1,0)</f>
        <v/>
      </c>
    </row>
    <row r="73">
      <c r="B73" s="111">
        <f>'Rate Engine'!AE$16</f>
        <v/>
      </c>
      <c r="C73" s="88">
        <f>'Rate Engine'!$U$38</f>
        <v/>
      </c>
      <c r="D73" s="88">
        <f>'Rate Engine'!AE$68</f>
        <v/>
      </c>
      <c r="E73" s="85">
        <f>'Mod Engine'!$E$38</f>
        <v/>
      </c>
      <c r="F73" s="85">
        <f>'Rate Engine'!AE$72</f>
        <v/>
      </c>
      <c r="G73" s="88">
        <f>IF(nr_NetMode,$C73,$C73*($E73/nr_MInd))</f>
        <v/>
      </c>
      <c r="H73" s="88">
        <f>IF(OR($D73="",$F73=""),"",IF(nr_NetMode,$D73,$D73*($F73/nr_MInd)))</f>
        <v/>
      </c>
      <c r="I73" s="75">
        <f>IF(YEAR($B73)=nr_PlanYear,1,0)</f>
        <v/>
      </c>
    </row>
    <row r="74">
      <c r="B74" s="111">
        <f>'Rate Engine'!AF$16</f>
        <v/>
      </c>
      <c r="C74" s="88">
        <f>'Rate Engine'!$U$39</f>
        <v/>
      </c>
      <c r="D74" s="88">
        <f>'Rate Engine'!AF$68</f>
        <v/>
      </c>
      <c r="E74" s="85">
        <f>'Mod Engine'!$E$39</f>
        <v/>
      </c>
      <c r="F74" s="85">
        <f>'Rate Engine'!AF$72</f>
        <v/>
      </c>
      <c r="G74" s="88">
        <f>IF(nr_NetMode,$C74,$C74*($E74/nr_MInd))</f>
        <v/>
      </c>
      <c r="H74" s="88">
        <f>IF(OR($D74="",$F74=""),"",IF(nr_NetMode,$D74,$D74*($F74/nr_MInd)))</f>
        <v/>
      </c>
      <c r="I74" s="75">
        <f>IF(YEAR($B74)=nr_PlanYear,1,0)</f>
        <v/>
      </c>
    </row>
    <row r="75">
      <c r="B75" s="111">
        <f>'Rate Engine'!AG$16</f>
        <v/>
      </c>
      <c r="C75" s="88">
        <f>'Rate Engine'!$U$40</f>
        <v/>
      </c>
      <c r="D75" s="88">
        <f>'Rate Engine'!AG$68</f>
        <v/>
      </c>
      <c r="E75" s="85">
        <f>'Mod Engine'!$E$40</f>
        <v/>
      </c>
      <c r="F75" s="85">
        <f>'Rate Engine'!AG$72</f>
        <v/>
      </c>
      <c r="G75" s="88">
        <f>IF(nr_NetMode,$C75,$C75*($E75/nr_MInd))</f>
        <v/>
      </c>
      <c r="H75" s="88">
        <f>IF(OR($D75="",$F75=""),"",IF(nr_NetMode,$D75,$D75*($F75/nr_MInd)))</f>
        <v/>
      </c>
      <c r="I75" s="75">
        <f>IF(YEAR($B75)=nr_PlanYear,1,0)</f>
        <v/>
      </c>
    </row>
    <row r="76">
      <c r="B76" s="111">
        <f>'Rate Engine'!AH$16</f>
        <v/>
      </c>
      <c r="C76" s="88">
        <f>'Rate Engine'!$U$41</f>
        <v/>
      </c>
      <c r="D76" s="88">
        <f>'Rate Engine'!AH$68</f>
        <v/>
      </c>
      <c r="E76" s="85">
        <f>'Mod Engine'!$E$41</f>
        <v/>
      </c>
      <c r="F76" s="85">
        <f>'Rate Engine'!AH$72</f>
        <v/>
      </c>
      <c r="G76" s="88">
        <f>IF(nr_NetMode,$C76,$C76*($E76/nr_MInd))</f>
        <v/>
      </c>
      <c r="H76" s="88">
        <f>IF(OR($D76="",$F76=""),"",IF(nr_NetMode,$D76,$D76*($F76/nr_MInd)))</f>
        <v/>
      </c>
      <c r="I76" s="75">
        <f>IF(YEAR($B76)=nr_PlanYear,1,0)</f>
        <v/>
      </c>
    </row>
    <row r="77">
      <c r="B77" s="111">
        <f>'Rate Engine'!AI$16</f>
        <v/>
      </c>
      <c r="C77" s="88">
        <f>'Rate Engine'!$U$42</f>
        <v/>
      </c>
      <c r="D77" s="88">
        <f>'Rate Engine'!AI$68</f>
        <v/>
      </c>
      <c r="E77" s="85">
        <f>'Mod Engine'!$E$42</f>
        <v/>
      </c>
      <c r="F77" s="85">
        <f>'Rate Engine'!AI$72</f>
        <v/>
      </c>
      <c r="G77" s="88">
        <f>IF(nr_NetMode,$C77,$C77*($E77/nr_MInd))</f>
        <v/>
      </c>
      <c r="H77" s="88">
        <f>IF(OR($D77="",$F77=""),"",IF(nr_NetMode,$D77,$D77*($F77/nr_MInd)))</f>
        <v/>
      </c>
      <c r="I77" s="75">
        <f>IF(YEAR($B77)=nr_PlanYear,1,0)</f>
        <v/>
      </c>
    </row>
    <row r="78">
      <c r="B78" s="111">
        <f>'Rate Engine'!AJ$16</f>
        <v/>
      </c>
      <c r="C78" s="88">
        <f>'Rate Engine'!$U$43</f>
        <v/>
      </c>
      <c r="D78" s="88">
        <f>'Rate Engine'!AJ$68</f>
        <v/>
      </c>
      <c r="E78" s="85">
        <f>'Mod Engine'!$E$43</f>
        <v/>
      </c>
      <c r="F78" s="85">
        <f>'Rate Engine'!AJ$72</f>
        <v/>
      </c>
      <c r="G78" s="88">
        <f>IF(nr_NetMode,$C78,$C78*($E78/nr_MInd))</f>
        <v/>
      </c>
      <c r="H78" s="88">
        <f>IF(OR($D78="",$F78=""),"",IF(nr_NetMode,$D78,$D78*($F78/nr_MInd)))</f>
        <v/>
      </c>
      <c r="I78" s="75">
        <f>IF(YEAR($B78)=nr_PlanYear,1,0)</f>
        <v/>
      </c>
    </row>
    <row r="79">
      <c r="B79" s="111">
        <f>'Rate Engine'!AK$16</f>
        <v/>
      </c>
      <c r="C79" s="88">
        <f>'Rate Engine'!$U$44</f>
        <v/>
      </c>
      <c r="D79" s="88">
        <f>'Rate Engine'!AK$68</f>
        <v/>
      </c>
      <c r="E79" s="85">
        <f>'Mod Engine'!$E$44</f>
        <v/>
      </c>
      <c r="F79" s="85">
        <f>'Rate Engine'!AK$72</f>
        <v/>
      </c>
      <c r="G79" s="88">
        <f>IF(nr_NetMode,$C79,$C79*($E79/nr_MInd))</f>
        <v/>
      </c>
      <c r="H79" s="88">
        <f>IF(OR($D79="",$F79=""),"",IF(nr_NetMode,$D79,$D79*($F79/nr_MInd)))</f>
        <v/>
      </c>
      <c r="I79" s="75">
        <f>IF(YEAR($B79)=nr_PlanYear,1,0)</f>
        <v/>
      </c>
    </row>
    <row r="80">
      <c r="B80" s="111">
        <f>'Rate Engine'!AL$16</f>
        <v/>
      </c>
      <c r="C80" s="88">
        <f>'Rate Engine'!$U$45</f>
        <v/>
      </c>
      <c r="D80" s="88">
        <f>'Rate Engine'!AL$68</f>
        <v/>
      </c>
      <c r="E80" s="85">
        <f>'Mod Engine'!$E$45</f>
        <v/>
      </c>
      <c r="F80" s="85">
        <f>'Rate Engine'!AL$72</f>
        <v/>
      </c>
      <c r="G80" s="88">
        <f>IF(nr_NetMode,$C80,$C80*($E80/nr_MInd))</f>
        <v/>
      </c>
      <c r="H80" s="88">
        <f>IF(OR($D80="",$F80=""),"",IF(nr_NetMode,$D80,$D80*($F80/nr_MInd)))</f>
        <v/>
      </c>
      <c r="I80" s="75">
        <f>IF(YEAR($B80)=nr_PlanYear,1,0)</f>
        <v/>
      </c>
    </row>
    <row r="81">
      <c r="B81" s="111">
        <f>'Rate Engine'!AM$16</f>
        <v/>
      </c>
      <c r="C81" s="88">
        <f>'Rate Engine'!$U$46</f>
        <v/>
      </c>
      <c r="D81" s="88">
        <f>'Rate Engine'!AM$68</f>
        <v/>
      </c>
      <c r="E81" s="85">
        <f>'Mod Engine'!$E$46</f>
        <v/>
      </c>
      <c r="F81" s="85">
        <f>'Rate Engine'!AM$72</f>
        <v/>
      </c>
      <c r="G81" s="88">
        <f>IF(nr_NetMode,$C81,$C81*($E81/nr_MInd))</f>
        <v/>
      </c>
      <c r="H81" s="88">
        <f>IF(OR($D81="",$F81=""),"",IF(nr_NetMode,$D81,$D81*($F81/nr_MInd)))</f>
        <v/>
      </c>
      <c r="I81" s="75">
        <f>IF(YEAR($B81)=nr_PlanYear,1,0)</f>
        <v/>
      </c>
    </row>
    <row r="82">
      <c r="B82" s="111">
        <f>'Rate Engine'!AN$16</f>
        <v/>
      </c>
      <c r="C82" s="88">
        <f>'Rate Engine'!$U$47</f>
        <v/>
      </c>
      <c r="D82" s="88">
        <f>'Rate Engine'!AN$68</f>
        <v/>
      </c>
      <c r="E82" s="85">
        <f>'Mod Engine'!$E$47</f>
        <v/>
      </c>
      <c r="F82" s="85">
        <f>'Rate Engine'!AN$72</f>
        <v/>
      </c>
      <c r="G82" s="88">
        <f>IF(nr_NetMode,$C82,$C82*($E82/nr_MInd))</f>
        <v/>
      </c>
      <c r="H82" s="88">
        <f>IF(OR($D82="",$F82=""),"",IF(nr_NetMode,$D82,$D82*($F82/nr_MInd)))</f>
        <v/>
      </c>
      <c r="I82" s="75">
        <f>IF(YEAR($B82)=nr_PlanYear,1,0)</f>
        <v/>
      </c>
    </row>
    <row r="83">
      <c r="B83" s="111">
        <f>'Rate Engine'!AO$16</f>
        <v/>
      </c>
      <c r="C83" s="88">
        <f>'Rate Engine'!$U$48</f>
        <v/>
      </c>
      <c r="D83" s="88">
        <f>'Rate Engine'!AO$68</f>
        <v/>
      </c>
      <c r="E83" s="85">
        <f>'Mod Engine'!$E$48</f>
        <v/>
      </c>
      <c r="F83" s="85">
        <f>'Rate Engine'!AO$72</f>
        <v/>
      </c>
      <c r="G83" s="88">
        <f>IF(nr_NetMode,$C83,$C83*($E83/nr_MInd))</f>
        <v/>
      </c>
      <c r="H83" s="88">
        <f>IF(OR($D83="",$F83=""),"",IF(nr_NetMode,$D83,$D83*($F83/nr_MInd)))</f>
        <v/>
      </c>
      <c r="I83" s="75">
        <f>IF(YEAR($B83)=nr_PlanYear,1,0)</f>
        <v/>
      </c>
    </row>
    <row r="84">
      <c r="B84" s="111">
        <f>'Rate Engine'!AP$16</f>
        <v/>
      </c>
      <c r="C84" s="88">
        <f>'Rate Engine'!$U$49</f>
        <v/>
      </c>
      <c r="D84" s="88">
        <f>'Rate Engine'!AP$68</f>
        <v/>
      </c>
      <c r="E84" s="85">
        <f>'Mod Engine'!$E$49</f>
        <v/>
      </c>
      <c r="F84" s="85">
        <f>'Rate Engine'!AP$72</f>
        <v/>
      </c>
      <c r="G84" s="88">
        <f>IF(nr_NetMode,$C84,$C84*($E84/nr_MInd))</f>
        <v/>
      </c>
      <c r="H84" s="88">
        <f>IF(OR($D84="",$F84=""),"",IF(nr_NetMode,$D84,$D84*($F84/nr_MInd)))</f>
        <v/>
      </c>
      <c r="I84" s="75">
        <f>IF(YEAR($B84)=nr_PlanYear,1,0)</f>
        <v/>
      </c>
    </row>
    <row r="85">
      <c r="B85" s="111">
        <f>'Rate Engine'!AQ$16</f>
        <v/>
      </c>
      <c r="C85" s="88">
        <f>'Rate Engine'!$U$50</f>
        <v/>
      </c>
      <c r="D85" s="88">
        <f>'Rate Engine'!AQ$68</f>
        <v/>
      </c>
      <c r="E85" s="85">
        <f>'Mod Engine'!$E$50</f>
        <v/>
      </c>
      <c r="F85" s="85">
        <f>'Rate Engine'!AQ$72</f>
        <v/>
      </c>
      <c r="G85" s="88">
        <f>IF(nr_NetMode,$C85,$C85*($E85/nr_MInd))</f>
        <v/>
      </c>
      <c r="H85" s="88">
        <f>IF(OR($D85="",$F85=""),"",IF(nr_NetMode,$D85,$D85*($F85/nr_MInd)))</f>
        <v/>
      </c>
      <c r="I85" s="75">
        <f>IF(YEAR($B85)=nr_PlanYear,1,0)</f>
        <v/>
      </c>
    </row>
    <row r="86">
      <c r="B86" s="111">
        <f>'Rate Engine'!AR$16</f>
        <v/>
      </c>
      <c r="C86" s="88">
        <f>'Rate Engine'!$U$51</f>
        <v/>
      </c>
      <c r="D86" s="88">
        <f>'Rate Engine'!AR$68</f>
        <v/>
      </c>
      <c r="E86" s="85">
        <f>'Mod Engine'!$E$51</f>
        <v/>
      </c>
      <c r="F86" s="85">
        <f>'Rate Engine'!AR$72</f>
        <v/>
      </c>
      <c r="G86" s="88">
        <f>IF(nr_NetMode,$C86,$C86*($E86/nr_MInd))</f>
        <v/>
      </c>
      <c r="H86" s="88">
        <f>IF(OR($D86="",$F86=""),"",IF(nr_NetMode,$D86,$D86*($F86/nr_MInd)))</f>
        <v/>
      </c>
      <c r="I86" s="75">
        <f>IF(YEAR($B86)=nr_PlanYear,1,0)</f>
        <v/>
      </c>
    </row>
    <row r="87">
      <c r="B87" s="111">
        <f>'Rate Engine'!AS$16</f>
        <v/>
      </c>
      <c r="C87" s="88">
        <f>'Rate Engine'!$U$52</f>
        <v/>
      </c>
      <c r="D87" s="88">
        <f>'Rate Engine'!AS$68</f>
        <v/>
      </c>
      <c r="E87" s="85">
        <f>'Mod Engine'!$E$52</f>
        <v/>
      </c>
      <c r="F87" s="85">
        <f>'Rate Engine'!AS$72</f>
        <v/>
      </c>
      <c r="G87" s="88">
        <f>IF(nr_NetMode,$C87,$C87*($E87/nr_MInd))</f>
        <v/>
      </c>
      <c r="H87" s="88">
        <f>IF(OR($D87="",$F87=""),"",IF(nr_NetMode,$D87,$D87*($F87/nr_MInd)))</f>
        <v/>
      </c>
      <c r="I87" s="75">
        <f>IF(YEAR($B87)=nr_PlanYear,1,0)</f>
        <v/>
      </c>
    </row>
    <row r="88">
      <c r="B88" s="111">
        <f>'Rate Engine'!AT$16</f>
        <v/>
      </c>
      <c r="C88" s="88">
        <f>'Rate Engine'!$U$53</f>
        <v/>
      </c>
      <c r="D88" s="88">
        <f>'Rate Engine'!AT$68</f>
        <v/>
      </c>
      <c r="E88" s="85">
        <f>'Mod Engine'!$E$53</f>
        <v/>
      </c>
      <c r="F88" s="85">
        <f>'Rate Engine'!AT$72</f>
        <v/>
      </c>
      <c r="G88" s="88">
        <f>IF(nr_NetMode,$C88,$C88*($E88/nr_MInd))</f>
        <v/>
      </c>
      <c r="H88" s="88">
        <f>IF(OR($D88="",$F88=""),"",IF(nr_NetMode,$D88,$D88*($F88/nr_MInd)))</f>
        <v/>
      </c>
      <c r="I88" s="75">
        <f>IF(YEAR($B88)=nr_PlanYear,1,0)</f>
        <v/>
      </c>
    </row>
    <row r="89">
      <c r="B89" s="111">
        <f>'Rate Engine'!AU$16</f>
        <v/>
      </c>
      <c r="C89" s="88">
        <f>'Rate Engine'!$U$54</f>
        <v/>
      </c>
      <c r="D89" s="88">
        <f>'Rate Engine'!AU$68</f>
        <v/>
      </c>
      <c r="E89" s="85">
        <f>'Mod Engine'!$E$54</f>
        <v/>
      </c>
      <c r="F89" s="85">
        <f>'Rate Engine'!AU$72</f>
        <v/>
      </c>
      <c r="G89" s="88">
        <f>IF(nr_NetMode,$C89,$C89*($E89/nr_MInd))</f>
        <v/>
      </c>
      <c r="H89" s="88">
        <f>IF(OR($D89="",$F89=""),"",IF(nr_NetMode,$D89,$D89*($F89/nr_MInd)))</f>
        <v/>
      </c>
      <c r="I89" s="75">
        <f>IF(YEAR($B89)=nr_PlanYear,1,0)</f>
        <v/>
      </c>
    </row>
    <row r="90">
      <c r="B90" s="111">
        <f>'Rate Engine'!AV$16</f>
        <v/>
      </c>
      <c r="C90" s="88">
        <f>'Rate Engine'!$U$55</f>
        <v/>
      </c>
      <c r="D90" s="88">
        <f>'Rate Engine'!AV$68</f>
        <v/>
      </c>
      <c r="E90" s="85">
        <f>'Mod Engine'!$E$55</f>
        <v/>
      </c>
      <c r="F90" s="85">
        <f>'Rate Engine'!AV$72</f>
        <v/>
      </c>
      <c r="G90" s="88">
        <f>IF(nr_NetMode,$C90,$C90*($E90/nr_MInd))</f>
        <v/>
      </c>
      <c r="H90" s="88">
        <f>IF(OR($D90="",$F90=""),"",IF(nr_NetMode,$D90,$D90*($F90/nr_MInd)))</f>
        <v/>
      </c>
      <c r="I90" s="75">
        <f>IF(YEAR($B90)=nr_PlanYear,1,0)</f>
        <v/>
      </c>
    </row>
    <row r="91">
      <c r="B91" s="111">
        <f>'Rate Engine'!AW$16</f>
        <v/>
      </c>
      <c r="C91" s="88">
        <f>'Rate Engine'!$U$56</f>
        <v/>
      </c>
      <c r="D91" s="88">
        <f>'Rate Engine'!AW$68</f>
        <v/>
      </c>
      <c r="E91" s="85">
        <f>'Mod Engine'!$E$56</f>
        <v/>
      </c>
      <c r="F91" s="85">
        <f>'Rate Engine'!AW$72</f>
        <v/>
      </c>
      <c r="G91" s="88">
        <f>IF(nr_NetMode,$C91,$C91*($E91/nr_MInd))</f>
        <v/>
      </c>
      <c r="H91" s="88">
        <f>IF(OR($D91="",$F91=""),"",IF(nr_NetMode,$D91,$D91*($F91/nr_MInd)))</f>
        <v/>
      </c>
      <c r="I91" s="75">
        <f>IF(YEAR($B91)=nr_PlanYear,1,0)</f>
        <v/>
      </c>
    </row>
    <row r="92">
      <c r="B92" s="111">
        <f>'Rate Engine'!AX$16</f>
        <v/>
      </c>
      <c r="C92" s="88">
        <f>'Rate Engine'!$U$57</f>
        <v/>
      </c>
      <c r="D92" s="88">
        <f>'Rate Engine'!AX$68</f>
        <v/>
      </c>
      <c r="E92" s="85">
        <f>'Mod Engine'!$E$57</f>
        <v/>
      </c>
      <c r="F92" s="85">
        <f>'Rate Engine'!AX$72</f>
        <v/>
      </c>
      <c r="G92" s="88">
        <f>IF(nr_NetMode,$C92,$C92*($E92/nr_MInd))</f>
        <v/>
      </c>
      <c r="H92" s="88">
        <f>IF(OR($D92="",$F92=""),"",IF(nr_NetMode,$D92,$D92*($F92/nr_MInd)))</f>
        <v/>
      </c>
      <c r="I92" s="75">
        <f>IF(YEAR($B92)=nr_PlanYear,1,0)</f>
        <v/>
      </c>
    </row>
    <row r="93">
      <c r="B93" s="111">
        <f>'Rate Engine'!AY$16</f>
        <v/>
      </c>
      <c r="C93" s="88">
        <f>'Rate Engine'!$U$58</f>
        <v/>
      </c>
      <c r="D93" s="88">
        <f>'Rate Engine'!AY$68</f>
        <v/>
      </c>
      <c r="E93" s="85">
        <f>'Mod Engine'!$E$58</f>
        <v/>
      </c>
      <c r="F93" s="85">
        <f>'Rate Engine'!AY$72</f>
        <v/>
      </c>
      <c r="G93" s="88">
        <f>IF(nr_NetMode,$C93,$C93*($E93/nr_MInd))</f>
        <v/>
      </c>
      <c r="H93" s="88">
        <f>IF(OR($D93="",$F93=""),"",IF(nr_NetMode,$D93,$D93*($F93/nr_MInd)))</f>
        <v/>
      </c>
      <c r="I93" s="75">
        <f>IF(YEAR($B93)=nr_PlanYear,1,0)</f>
        <v/>
      </c>
    </row>
    <row r="94">
      <c r="B94" s="111">
        <f>'Rate Engine'!AZ$16</f>
        <v/>
      </c>
      <c r="C94" s="88">
        <f>'Rate Engine'!$U$59</f>
        <v/>
      </c>
      <c r="D94" s="88">
        <f>'Rate Engine'!AZ$68</f>
        <v/>
      </c>
      <c r="E94" s="85">
        <f>'Mod Engine'!$E$59</f>
        <v/>
      </c>
      <c r="F94" s="85">
        <f>'Rate Engine'!AZ$72</f>
        <v/>
      </c>
      <c r="G94" s="88">
        <f>IF(nr_NetMode,$C94,$C94*($E94/nr_MInd))</f>
        <v/>
      </c>
      <c r="H94" s="88">
        <f>IF(OR($D94="",$F94=""),"",IF(nr_NetMode,$D94,$D94*($F94/nr_MInd)))</f>
        <v/>
      </c>
      <c r="I94" s="75">
        <f>IF(YEAR($B94)=nr_PlanYear,1,0)</f>
        <v/>
      </c>
    </row>
    <row r="95">
      <c r="B95" s="111">
        <f>'Rate Engine'!BA$16</f>
        <v/>
      </c>
      <c r="C95" s="88">
        <f>'Rate Engine'!$U$60</f>
        <v/>
      </c>
      <c r="D95" s="88">
        <f>'Rate Engine'!BA$68</f>
        <v/>
      </c>
      <c r="E95" s="85">
        <f>'Mod Engine'!$E$60</f>
        <v/>
      </c>
      <c r="F95" s="85">
        <f>'Rate Engine'!BA$72</f>
        <v/>
      </c>
      <c r="G95" s="88">
        <f>IF(nr_NetMode,$C95,$C95*($E95/nr_MInd))</f>
        <v/>
      </c>
      <c r="H95" s="88">
        <f>IF(OR($D95="",$F95=""),"",IF(nr_NetMode,$D95,$D95*($F95/nr_MInd)))</f>
        <v/>
      </c>
      <c r="I95" s="75">
        <f>IF(YEAR($B95)=nr_PlanYear,1,0)</f>
        <v/>
      </c>
    </row>
    <row r="96">
      <c r="B96" s="111">
        <f>'Rate Engine'!BB$16</f>
        <v/>
      </c>
      <c r="C96" s="88">
        <f>'Rate Engine'!$U$61</f>
        <v/>
      </c>
      <c r="D96" s="88">
        <f>'Rate Engine'!BB$68</f>
        <v/>
      </c>
      <c r="E96" s="85">
        <f>'Mod Engine'!$E$61</f>
        <v/>
      </c>
      <c r="F96" s="85">
        <f>'Rate Engine'!BB$72</f>
        <v/>
      </c>
      <c r="G96" s="88">
        <f>IF(nr_NetMode,$C96,$C96*($E96/nr_MInd))</f>
        <v/>
      </c>
      <c r="H96" s="88">
        <f>IF(OR($D96="",$F96=""),"",IF(nr_NetMode,$D96,$D96*($F96/nr_MInd)))</f>
        <v/>
      </c>
      <c r="I96" s="75">
        <f>IF(YEAR($B96)=nr_PlanYear,1,0)</f>
        <v/>
      </c>
    </row>
    <row r="97">
      <c r="B97" s="111">
        <f>'Rate Engine'!BC$16</f>
        <v/>
      </c>
      <c r="C97" s="88">
        <f>'Rate Engine'!$U$62</f>
        <v/>
      </c>
      <c r="D97" s="88">
        <f>'Rate Engine'!BC$68</f>
        <v/>
      </c>
      <c r="E97" s="85">
        <f>'Mod Engine'!$E$62</f>
        <v/>
      </c>
      <c r="F97" s="85">
        <f>'Rate Engine'!BC$72</f>
        <v/>
      </c>
      <c r="G97" s="88">
        <f>IF(nr_NetMode,$C97,$C97*($E97/nr_MInd))</f>
        <v/>
      </c>
      <c r="H97" s="88">
        <f>IF(OR($D97="",$F97=""),"",IF(nr_NetMode,$D97,$D97*($F97/nr_MInd)))</f>
        <v/>
      </c>
      <c r="I97" s="75">
        <f>IF(YEAR($B97)=nr_PlanYear,1,0)</f>
        <v/>
      </c>
    </row>
    <row r="98">
      <c r="B98" s="111">
        <f>'Rate Engine'!BD$16</f>
        <v/>
      </c>
      <c r="C98" s="88">
        <f>'Rate Engine'!$U$63</f>
        <v/>
      </c>
      <c r="D98" s="88">
        <f>'Rate Engine'!BD$68</f>
        <v/>
      </c>
      <c r="E98" s="85">
        <f>'Mod Engine'!$E$63</f>
        <v/>
      </c>
      <c r="F98" s="85">
        <f>'Rate Engine'!BD$72</f>
        <v/>
      </c>
      <c r="G98" s="88">
        <f>IF(nr_NetMode,$C98,$C98*($E98/nr_MInd))</f>
        <v/>
      </c>
      <c r="H98" s="88">
        <f>IF(OR($D98="",$F98=""),"",IF(nr_NetMode,$D98,$D98*($F98/nr_MInd)))</f>
        <v/>
      </c>
      <c r="I98" s="75">
        <f>IF(YEAR($B98)=nr_PlanYear,1,0)</f>
        <v/>
      </c>
    </row>
    <row r="99">
      <c r="B99" s="111">
        <f>'Rate Engine'!BE$16</f>
        <v/>
      </c>
      <c r="C99" s="88">
        <f>'Rate Engine'!$U$64</f>
        <v/>
      </c>
      <c r="D99" s="88">
        <f>'Rate Engine'!BE$68</f>
        <v/>
      </c>
      <c r="E99" s="85">
        <f>'Mod Engine'!$E$64</f>
        <v/>
      </c>
      <c r="F99" s="85">
        <f>'Rate Engine'!BE$72</f>
        <v/>
      </c>
      <c r="G99" s="88">
        <f>IF(nr_NetMode,$C99,$C99*($E99/nr_MInd))</f>
        <v/>
      </c>
      <c r="H99" s="88">
        <f>IF(OR($D99="",$F99=""),"",IF(nr_NetMode,$D99,$D99*($F99/nr_MInd)))</f>
        <v/>
      </c>
      <c r="I99" s="75">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12">
        <f>IF(INDEX(lr_key,1)="","",INDEX(lr_bu,1))</f>
        <v/>
      </c>
      <c r="B6" s="112">
        <f>IF(INDEX(lr_key,1)="","",INDEX(lr_state,1))</f>
        <v/>
      </c>
      <c r="C6" s="113">
        <f>INDEX(lr_key,1)</f>
        <v/>
      </c>
      <c r="D6" s="114">
        <f>IF($C6="","",N(INDEX(lr_lrproj,1)))</f>
        <v/>
      </c>
      <c r="E6" s="43">
        <f>IF($C6="","",INDEX(lr_basis,1)&amp;"")</f>
        <v/>
      </c>
      <c r="F6" s="114">
        <f>IF($C6="","",INDEX(calc_lrcur,1))</f>
        <v/>
      </c>
      <c r="G6" s="115">
        <f>IF($C6="","",INDEX(calc_cylr_p,1))</f>
        <v/>
      </c>
      <c r="H6" s="116">
        <f>IF($C6="","",(INDEX(calc_cylr_p,1)-INDEX(calc_lrcur,1))*100)</f>
        <v/>
      </c>
      <c r="I6" s="117">
        <f>IF($C6="","",INDEX(calc_arate_p,1))</f>
        <v/>
      </c>
      <c r="J6" s="117">
        <f>IF($C6="","",INDEX(calc_amod_p,1))</f>
        <v/>
      </c>
      <c r="K6" s="107">
        <f>IF($C6="","",INDEX(calc_echg,1))</f>
        <v/>
      </c>
      <c r="L6" s="107">
        <f>IF($C6="","",INDEX(calc_carry,1))</f>
        <v/>
      </c>
      <c r="M6" s="114">
        <f>IF($C6="","",INDEX(calc_cylr_p1,1))</f>
        <v/>
      </c>
      <c r="N6" s="118">
        <f>IF($C6="","",N(INDEX(lr_ep,1)))</f>
        <v/>
      </c>
      <c r="O6" s="119">
        <f>IF($C6="","",IF(SUM($N$6:$N$74)=0,0,N($N6)/SUM($N$6:$N$74)))</f>
        <v/>
      </c>
    </row>
    <row r="7">
      <c r="A7" s="112">
        <f>IF(INDEX(lr_key,2)="","",INDEX(lr_bu,2))</f>
        <v/>
      </c>
      <c r="B7" s="112">
        <f>IF(INDEX(lr_key,2)="","",INDEX(lr_state,2))</f>
        <v/>
      </c>
      <c r="C7" s="113">
        <f>INDEX(lr_key,2)</f>
        <v/>
      </c>
      <c r="D7" s="114">
        <f>IF($C7="","",N(INDEX(lr_lrproj,2)))</f>
        <v/>
      </c>
      <c r="E7" s="43">
        <f>IF($C7="","",INDEX(lr_basis,2)&amp;"")</f>
        <v/>
      </c>
      <c r="F7" s="114">
        <f>IF($C7="","",INDEX(calc_lrcur,2))</f>
        <v/>
      </c>
      <c r="G7" s="115">
        <f>IF($C7="","",INDEX(calc_cylr_p,2))</f>
        <v/>
      </c>
      <c r="H7" s="116">
        <f>IF($C7="","",(INDEX(calc_cylr_p,2)-INDEX(calc_lrcur,2))*100)</f>
        <v/>
      </c>
      <c r="I7" s="117">
        <f>IF($C7="","",INDEX(calc_arate_p,2))</f>
        <v/>
      </c>
      <c r="J7" s="117">
        <f>IF($C7="","",INDEX(calc_amod_p,2))</f>
        <v/>
      </c>
      <c r="K7" s="107">
        <f>IF($C7="","",INDEX(calc_echg,2))</f>
        <v/>
      </c>
      <c r="L7" s="107">
        <f>IF($C7="","",INDEX(calc_carry,2))</f>
        <v/>
      </c>
      <c r="M7" s="114">
        <f>IF($C7="","",INDEX(calc_cylr_p1,2))</f>
        <v/>
      </c>
      <c r="N7" s="118">
        <f>IF($C7="","",N(INDEX(lr_ep,2)))</f>
        <v/>
      </c>
      <c r="O7" s="119">
        <f>IF($C7="","",IF(SUM($N$6:$N$74)=0,0,N($N7)/SUM($N$6:$N$74)))</f>
        <v/>
      </c>
    </row>
    <row r="8">
      <c r="A8" s="112">
        <f>IF(INDEX(lr_key,3)="","",INDEX(lr_bu,3))</f>
        <v/>
      </c>
      <c r="B8" s="112">
        <f>IF(INDEX(lr_key,3)="","",INDEX(lr_state,3))</f>
        <v/>
      </c>
      <c r="C8" s="113">
        <f>INDEX(lr_key,3)</f>
        <v/>
      </c>
      <c r="D8" s="114">
        <f>IF($C8="","",N(INDEX(lr_lrproj,3)))</f>
        <v/>
      </c>
      <c r="E8" s="43">
        <f>IF($C8="","",INDEX(lr_basis,3)&amp;"")</f>
        <v/>
      </c>
      <c r="F8" s="114">
        <f>IF($C8="","",INDEX(calc_lrcur,3))</f>
        <v/>
      </c>
      <c r="G8" s="115">
        <f>IF($C8="","",INDEX(calc_cylr_p,3))</f>
        <v/>
      </c>
      <c r="H8" s="116">
        <f>IF($C8="","",(INDEX(calc_cylr_p,3)-INDEX(calc_lrcur,3))*100)</f>
        <v/>
      </c>
      <c r="I8" s="117">
        <f>IF($C8="","",INDEX(calc_arate_p,3))</f>
        <v/>
      </c>
      <c r="J8" s="117">
        <f>IF($C8="","",INDEX(calc_amod_p,3))</f>
        <v/>
      </c>
      <c r="K8" s="107">
        <f>IF($C8="","",INDEX(calc_echg,3))</f>
        <v/>
      </c>
      <c r="L8" s="107">
        <f>IF($C8="","",INDEX(calc_carry,3))</f>
        <v/>
      </c>
      <c r="M8" s="114">
        <f>IF($C8="","",INDEX(calc_cylr_p1,3))</f>
        <v/>
      </c>
      <c r="N8" s="118">
        <f>IF($C8="","",N(INDEX(lr_ep,3)))</f>
        <v/>
      </c>
      <c r="O8" s="119">
        <f>IF($C8="","",IF(SUM($N$6:$N$74)=0,0,N($N8)/SUM($N$6:$N$74)))</f>
        <v/>
      </c>
    </row>
    <row r="9">
      <c r="A9" s="112">
        <f>IF(INDEX(lr_key,4)="","",INDEX(lr_bu,4))</f>
        <v/>
      </c>
      <c r="B9" s="112">
        <f>IF(INDEX(lr_key,4)="","",INDEX(lr_state,4))</f>
        <v/>
      </c>
      <c r="C9" s="113">
        <f>INDEX(lr_key,4)</f>
        <v/>
      </c>
      <c r="D9" s="114">
        <f>IF($C9="","",N(INDEX(lr_lrproj,4)))</f>
        <v/>
      </c>
      <c r="E9" s="43">
        <f>IF($C9="","",INDEX(lr_basis,4)&amp;"")</f>
        <v/>
      </c>
      <c r="F9" s="114">
        <f>IF($C9="","",INDEX(calc_lrcur,4))</f>
        <v/>
      </c>
      <c r="G9" s="115">
        <f>IF($C9="","",INDEX(calc_cylr_p,4))</f>
        <v/>
      </c>
      <c r="H9" s="116">
        <f>IF($C9="","",(INDEX(calc_cylr_p,4)-INDEX(calc_lrcur,4))*100)</f>
        <v/>
      </c>
      <c r="I9" s="117">
        <f>IF($C9="","",INDEX(calc_arate_p,4))</f>
        <v/>
      </c>
      <c r="J9" s="117">
        <f>IF($C9="","",INDEX(calc_amod_p,4))</f>
        <v/>
      </c>
      <c r="K9" s="107">
        <f>IF($C9="","",INDEX(calc_echg,4))</f>
        <v/>
      </c>
      <c r="L9" s="107">
        <f>IF($C9="","",INDEX(calc_carry,4))</f>
        <v/>
      </c>
      <c r="M9" s="114">
        <f>IF($C9="","",INDEX(calc_cylr_p1,4))</f>
        <v/>
      </c>
      <c r="N9" s="118">
        <f>IF($C9="","",N(INDEX(lr_ep,4)))</f>
        <v/>
      </c>
      <c r="O9" s="119">
        <f>IF($C9="","",IF(SUM($N$6:$N$74)=0,0,N($N9)/SUM($N$6:$N$74)))</f>
        <v/>
      </c>
    </row>
    <row r="10">
      <c r="A10" s="112">
        <f>IF(INDEX(lr_key,5)="","",INDEX(lr_bu,5))</f>
        <v/>
      </c>
      <c r="B10" s="112">
        <f>IF(INDEX(lr_key,5)="","",INDEX(lr_state,5))</f>
        <v/>
      </c>
      <c r="C10" s="113">
        <f>INDEX(lr_key,5)</f>
        <v/>
      </c>
      <c r="D10" s="114">
        <f>IF($C10="","",N(INDEX(lr_lrproj,5)))</f>
        <v/>
      </c>
      <c r="E10" s="43">
        <f>IF($C10="","",INDEX(lr_basis,5)&amp;"")</f>
        <v/>
      </c>
      <c r="F10" s="114">
        <f>IF($C10="","",INDEX(calc_lrcur,5))</f>
        <v/>
      </c>
      <c r="G10" s="115">
        <f>IF($C10="","",INDEX(calc_cylr_p,5))</f>
        <v/>
      </c>
      <c r="H10" s="116">
        <f>IF($C10="","",(INDEX(calc_cylr_p,5)-INDEX(calc_lrcur,5))*100)</f>
        <v/>
      </c>
      <c r="I10" s="117">
        <f>IF($C10="","",INDEX(calc_arate_p,5))</f>
        <v/>
      </c>
      <c r="J10" s="117">
        <f>IF($C10="","",INDEX(calc_amod_p,5))</f>
        <v/>
      </c>
      <c r="K10" s="107">
        <f>IF($C10="","",INDEX(calc_echg,5))</f>
        <v/>
      </c>
      <c r="L10" s="107">
        <f>IF($C10="","",INDEX(calc_carry,5))</f>
        <v/>
      </c>
      <c r="M10" s="114">
        <f>IF($C10="","",INDEX(calc_cylr_p1,5))</f>
        <v/>
      </c>
      <c r="N10" s="118">
        <f>IF($C10="","",N(INDEX(lr_ep,5)))</f>
        <v/>
      </c>
      <c r="O10" s="119">
        <f>IF($C10="","",IF(SUM($N$6:$N$74)=0,0,N($N10)/SUM($N$6:$N$74)))</f>
        <v/>
      </c>
    </row>
    <row r="11">
      <c r="A11" s="112">
        <f>IF(INDEX(lr_key,6)="","",INDEX(lr_bu,6))</f>
        <v/>
      </c>
      <c r="B11" s="112">
        <f>IF(INDEX(lr_key,6)="","",INDEX(lr_state,6))</f>
        <v/>
      </c>
      <c r="C11" s="113">
        <f>INDEX(lr_key,6)</f>
        <v/>
      </c>
      <c r="D11" s="114">
        <f>IF($C11="","",N(INDEX(lr_lrproj,6)))</f>
        <v/>
      </c>
      <c r="E11" s="43">
        <f>IF($C11="","",INDEX(lr_basis,6)&amp;"")</f>
        <v/>
      </c>
      <c r="F11" s="114">
        <f>IF($C11="","",INDEX(calc_lrcur,6))</f>
        <v/>
      </c>
      <c r="G11" s="115">
        <f>IF($C11="","",INDEX(calc_cylr_p,6))</f>
        <v/>
      </c>
      <c r="H11" s="116">
        <f>IF($C11="","",(INDEX(calc_cylr_p,6)-INDEX(calc_lrcur,6))*100)</f>
        <v/>
      </c>
      <c r="I11" s="117">
        <f>IF($C11="","",INDEX(calc_arate_p,6))</f>
        <v/>
      </c>
      <c r="J11" s="117">
        <f>IF($C11="","",INDEX(calc_amod_p,6))</f>
        <v/>
      </c>
      <c r="K11" s="107">
        <f>IF($C11="","",INDEX(calc_echg,6))</f>
        <v/>
      </c>
      <c r="L11" s="107">
        <f>IF($C11="","",INDEX(calc_carry,6))</f>
        <v/>
      </c>
      <c r="M11" s="114">
        <f>IF($C11="","",INDEX(calc_cylr_p1,6))</f>
        <v/>
      </c>
      <c r="N11" s="118">
        <f>IF($C11="","",N(INDEX(lr_ep,6)))</f>
        <v/>
      </c>
      <c r="O11" s="119">
        <f>IF($C11="","",IF(SUM($N$6:$N$74)=0,0,N($N11)/SUM($N$6:$N$74)))</f>
        <v/>
      </c>
    </row>
    <row r="12">
      <c r="A12" s="112">
        <f>IF(INDEX(lr_key,7)="","",INDEX(lr_bu,7))</f>
        <v/>
      </c>
      <c r="B12" s="112">
        <f>IF(INDEX(lr_key,7)="","",INDEX(lr_state,7))</f>
        <v/>
      </c>
      <c r="C12" s="113">
        <f>INDEX(lr_key,7)</f>
        <v/>
      </c>
      <c r="D12" s="114">
        <f>IF($C12="","",N(INDEX(lr_lrproj,7)))</f>
        <v/>
      </c>
      <c r="E12" s="43">
        <f>IF($C12="","",INDEX(lr_basis,7)&amp;"")</f>
        <v/>
      </c>
      <c r="F12" s="114">
        <f>IF($C12="","",INDEX(calc_lrcur,7))</f>
        <v/>
      </c>
      <c r="G12" s="115">
        <f>IF($C12="","",INDEX(calc_cylr_p,7))</f>
        <v/>
      </c>
      <c r="H12" s="116">
        <f>IF($C12="","",(INDEX(calc_cylr_p,7)-INDEX(calc_lrcur,7))*100)</f>
        <v/>
      </c>
      <c r="I12" s="117">
        <f>IF($C12="","",INDEX(calc_arate_p,7))</f>
        <v/>
      </c>
      <c r="J12" s="117">
        <f>IF($C12="","",INDEX(calc_amod_p,7))</f>
        <v/>
      </c>
      <c r="K12" s="107">
        <f>IF($C12="","",INDEX(calc_echg,7))</f>
        <v/>
      </c>
      <c r="L12" s="107">
        <f>IF($C12="","",INDEX(calc_carry,7))</f>
        <v/>
      </c>
      <c r="M12" s="114">
        <f>IF($C12="","",INDEX(calc_cylr_p1,7))</f>
        <v/>
      </c>
      <c r="N12" s="118">
        <f>IF($C12="","",N(INDEX(lr_ep,7)))</f>
        <v/>
      </c>
      <c r="O12" s="119">
        <f>IF($C12="","",IF(SUM($N$6:$N$74)=0,0,N($N12)/SUM($N$6:$N$74)))</f>
        <v/>
      </c>
    </row>
    <row r="13">
      <c r="A13" s="112">
        <f>IF(INDEX(lr_key,8)="","",INDEX(lr_bu,8))</f>
        <v/>
      </c>
      <c r="B13" s="112">
        <f>IF(INDEX(lr_key,8)="","",INDEX(lr_state,8))</f>
        <v/>
      </c>
      <c r="C13" s="113">
        <f>INDEX(lr_key,8)</f>
        <v/>
      </c>
      <c r="D13" s="114">
        <f>IF($C13="","",N(INDEX(lr_lrproj,8)))</f>
        <v/>
      </c>
      <c r="E13" s="43">
        <f>IF($C13="","",INDEX(lr_basis,8)&amp;"")</f>
        <v/>
      </c>
      <c r="F13" s="114">
        <f>IF($C13="","",INDEX(calc_lrcur,8))</f>
        <v/>
      </c>
      <c r="G13" s="115">
        <f>IF($C13="","",INDEX(calc_cylr_p,8))</f>
        <v/>
      </c>
      <c r="H13" s="116">
        <f>IF($C13="","",(INDEX(calc_cylr_p,8)-INDEX(calc_lrcur,8))*100)</f>
        <v/>
      </c>
      <c r="I13" s="117">
        <f>IF($C13="","",INDEX(calc_arate_p,8))</f>
        <v/>
      </c>
      <c r="J13" s="117">
        <f>IF($C13="","",INDEX(calc_amod_p,8))</f>
        <v/>
      </c>
      <c r="K13" s="107">
        <f>IF($C13="","",INDEX(calc_echg,8))</f>
        <v/>
      </c>
      <c r="L13" s="107">
        <f>IF($C13="","",INDEX(calc_carry,8))</f>
        <v/>
      </c>
      <c r="M13" s="114">
        <f>IF($C13="","",INDEX(calc_cylr_p1,8))</f>
        <v/>
      </c>
      <c r="N13" s="118">
        <f>IF($C13="","",N(INDEX(lr_ep,8)))</f>
        <v/>
      </c>
      <c r="O13" s="119">
        <f>IF($C13="","",IF(SUM($N$6:$N$74)=0,0,N($N13)/SUM($N$6:$N$74)))</f>
        <v/>
      </c>
    </row>
    <row r="14">
      <c r="A14" s="112">
        <f>IF(INDEX(lr_key,9)="","",INDEX(lr_bu,9))</f>
        <v/>
      </c>
      <c r="B14" s="112">
        <f>IF(INDEX(lr_key,9)="","",INDEX(lr_state,9))</f>
        <v/>
      </c>
      <c r="C14" s="113">
        <f>INDEX(lr_key,9)</f>
        <v/>
      </c>
      <c r="D14" s="114">
        <f>IF($C14="","",N(INDEX(lr_lrproj,9)))</f>
        <v/>
      </c>
      <c r="E14" s="43">
        <f>IF($C14="","",INDEX(lr_basis,9)&amp;"")</f>
        <v/>
      </c>
      <c r="F14" s="114">
        <f>IF($C14="","",INDEX(calc_lrcur,9))</f>
        <v/>
      </c>
      <c r="G14" s="115">
        <f>IF($C14="","",INDEX(calc_cylr_p,9))</f>
        <v/>
      </c>
      <c r="H14" s="116">
        <f>IF($C14="","",(INDEX(calc_cylr_p,9)-INDEX(calc_lrcur,9))*100)</f>
        <v/>
      </c>
      <c r="I14" s="117">
        <f>IF($C14="","",INDEX(calc_arate_p,9))</f>
        <v/>
      </c>
      <c r="J14" s="117">
        <f>IF($C14="","",INDEX(calc_amod_p,9))</f>
        <v/>
      </c>
      <c r="K14" s="107">
        <f>IF($C14="","",INDEX(calc_echg,9))</f>
        <v/>
      </c>
      <c r="L14" s="107">
        <f>IF($C14="","",INDEX(calc_carry,9))</f>
        <v/>
      </c>
      <c r="M14" s="114">
        <f>IF($C14="","",INDEX(calc_cylr_p1,9))</f>
        <v/>
      </c>
      <c r="N14" s="118">
        <f>IF($C14="","",N(INDEX(lr_ep,9)))</f>
        <v/>
      </c>
      <c r="O14" s="119">
        <f>IF($C14="","",IF(SUM($N$6:$N$74)=0,0,N($N14)/SUM($N$6:$N$74)))</f>
        <v/>
      </c>
    </row>
    <row r="15">
      <c r="A15" s="112">
        <f>IF(INDEX(lr_key,10)="","",INDEX(lr_bu,10))</f>
        <v/>
      </c>
      <c r="B15" s="112">
        <f>IF(INDEX(lr_key,10)="","",INDEX(lr_state,10))</f>
        <v/>
      </c>
      <c r="C15" s="113">
        <f>INDEX(lr_key,10)</f>
        <v/>
      </c>
      <c r="D15" s="114">
        <f>IF($C15="","",N(INDEX(lr_lrproj,10)))</f>
        <v/>
      </c>
      <c r="E15" s="43">
        <f>IF($C15="","",INDEX(lr_basis,10)&amp;"")</f>
        <v/>
      </c>
      <c r="F15" s="114">
        <f>IF($C15="","",INDEX(calc_lrcur,10))</f>
        <v/>
      </c>
      <c r="G15" s="115">
        <f>IF($C15="","",INDEX(calc_cylr_p,10))</f>
        <v/>
      </c>
      <c r="H15" s="116">
        <f>IF($C15="","",(INDEX(calc_cylr_p,10)-INDEX(calc_lrcur,10))*100)</f>
        <v/>
      </c>
      <c r="I15" s="117">
        <f>IF($C15="","",INDEX(calc_arate_p,10))</f>
        <v/>
      </c>
      <c r="J15" s="117">
        <f>IF($C15="","",INDEX(calc_amod_p,10))</f>
        <v/>
      </c>
      <c r="K15" s="107">
        <f>IF($C15="","",INDEX(calc_echg,10))</f>
        <v/>
      </c>
      <c r="L15" s="107">
        <f>IF($C15="","",INDEX(calc_carry,10))</f>
        <v/>
      </c>
      <c r="M15" s="114">
        <f>IF($C15="","",INDEX(calc_cylr_p1,10))</f>
        <v/>
      </c>
      <c r="N15" s="118">
        <f>IF($C15="","",N(INDEX(lr_ep,10)))</f>
        <v/>
      </c>
      <c r="O15" s="119">
        <f>IF($C15="","",IF(SUM($N$6:$N$74)=0,0,N($N15)/SUM($N$6:$N$74)))</f>
        <v/>
      </c>
    </row>
    <row r="16">
      <c r="A16" s="112">
        <f>IF(INDEX(lr_key,11)="","",INDEX(lr_bu,11))</f>
        <v/>
      </c>
      <c r="B16" s="112">
        <f>IF(INDEX(lr_key,11)="","",INDEX(lr_state,11))</f>
        <v/>
      </c>
      <c r="C16" s="113">
        <f>INDEX(lr_key,11)</f>
        <v/>
      </c>
      <c r="D16" s="114">
        <f>IF($C16="","",N(INDEX(lr_lrproj,11)))</f>
        <v/>
      </c>
      <c r="E16" s="43">
        <f>IF($C16="","",INDEX(lr_basis,11)&amp;"")</f>
        <v/>
      </c>
      <c r="F16" s="114">
        <f>IF($C16="","",INDEX(calc_lrcur,11))</f>
        <v/>
      </c>
      <c r="G16" s="115">
        <f>IF($C16="","",INDEX(calc_cylr_p,11))</f>
        <v/>
      </c>
      <c r="H16" s="116">
        <f>IF($C16="","",(INDEX(calc_cylr_p,11)-INDEX(calc_lrcur,11))*100)</f>
        <v/>
      </c>
      <c r="I16" s="117">
        <f>IF($C16="","",INDEX(calc_arate_p,11))</f>
        <v/>
      </c>
      <c r="J16" s="117">
        <f>IF($C16="","",INDEX(calc_amod_p,11))</f>
        <v/>
      </c>
      <c r="K16" s="107">
        <f>IF($C16="","",INDEX(calc_echg,11))</f>
        <v/>
      </c>
      <c r="L16" s="107">
        <f>IF($C16="","",INDEX(calc_carry,11))</f>
        <v/>
      </c>
      <c r="M16" s="114">
        <f>IF($C16="","",INDEX(calc_cylr_p1,11))</f>
        <v/>
      </c>
      <c r="N16" s="118">
        <f>IF($C16="","",N(INDEX(lr_ep,11)))</f>
        <v/>
      </c>
      <c r="O16" s="119">
        <f>IF($C16="","",IF(SUM($N$6:$N$74)=0,0,N($N16)/SUM($N$6:$N$74)))</f>
        <v/>
      </c>
    </row>
    <row r="17">
      <c r="A17" s="112">
        <f>IF(INDEX(lr_key,12)="","",INDEX(lr_bu,12))</f>
        <v/>
      </c>
      <c r="B17" s="112">
        <f>IF(INDEX(lr_key,12)="","",INDEX(lr_state,12))</f>
        <v/>
      </c>
      <c r="C17" s="113">
        <f>INDEX(lr_key,12)</f>
        <v/>
      </c>
      <c r="D17" s="114">
        <f>IF($C17="","",N(INDEX(lr_lrproj,12)))</f>
        <v/>
      </c>
      <c r="E17" s="43">
        <f>IF($C17="","",INDEX(lr_basis,12)&amp;"")</f>
        <v/>
      </c>
      <c r="F17" s="114">
        <f>IF($C17="","",INDEX(calc_lrcur,12))</f>
        <v/>
      </c>
      <c r="G17" s="115">
        <f>IF($C17="","",INDEX(calc_cylr_p,12))</f>
        <v/>
      </c>
      <c r="H17" s="116">
        <f>IF($C17="","",(INDEX(calc_cylr_p,12)-INDEX(calc_lrcur,12))*100)</f>
        <v/>
      </c>
      <c r="I17" s="117">
        <f>IF($C17="","",INDEX(calc_arate_p,12))</f>
        <v/>
      </c>
      <c r="J17" s="117">
        <f>IF($C17="","",INDEX(calc_amod_p,12))</f>
        <v/>
      </c>
      <c r="K17" s="107">
        <f>IF($C17="","",INDEX(calc_echg,12))</f>
        <v/>
      </c>
      <c r="L17" s="107">
        <f>IF($C17="","",INDEX(calc_carry,12))</f>
        <v/>
      </c>
      <c r="M17" s="114">
        <f>IF($C17="","",INDEX(calc_cylr_p1,12))</f>
        <v/>
      </c>
      <c r="N17" s="118">
        <f>IF($C17="","",N(INDEX(lr_ep,12)))</f>
        <v/>
      </c>
      <c r="O17" s="119">
        <f>IF($C17="","",IF(SUM($N$6:$N$74)=0,0,N($N17)/SUM($N$6:$N$74)))</f>
        <v/>
      </c>
    </row>
    <row r="18">
      <c r="A18" s="112">
        <f>IF(INDEX(lr_key,13)="","",INDEX(lr_bu,13))</f>
        <v/>
      </c>
      <c r="B18" s="112">
        <f>IF(INDEX(lr_key,13)="","",INDEX(lr_state,13))</f>
        <v/>
      </c>
      <c r="C18" s="113">
        <f>INDEX(lr_key,13)</f>
        <v/>
      </c>
      <c r="D18" s="114">
        <f>IF($C18="","",N(INDEX(lr_lrproj,13)))</f>
        <v/>
      </c>
      <c r="E18" s="43">
        <f>IF($C18="","",INDEX(lr_basis,13)&amp;"")</f>
        <v/>
      </c>
      <c r="F18" s="114">
        <f>IF($C18="","",INDEX(calc_lrcur,13))</f>
        <v/>
      </c>
      <c r="G18" s="115">
        <f>IF($C18="","",INDEX(calc_cylr_p,13))</f>
        <v/>
      </c>
      <c r="H18" s="116">
        <f>IF($C18="","",(INDEX(calc_cylr_p,13)-INDEX(calc_lrcur,13))*100)</f>
        <v/>
      </c>
      <c r="I18" s="117">
        <f>IF($C18="","",INDEX(calc_arate_p,13))</f>
        <v/>
      </c>
      <c r="J18" s="117">
        <f>IF($C18="","",INDEX(calc_amod_p,13))</f>
        <v/>
      </c>
      <c r="K18" s="107">
        <f>IF($C18="","",INDEX(calc_echg,13))</f>
        <v/>
      </c>
      <c r="L18" s="107">
        <f>IF($C18="","",INDEX(calc_carry,13))</f>
        <v/>
      </c>
      <c r="M18" s="114">
        <f>IF($C18="","",INDEX(calc_cylr_p1,13))</f>
        <v/>
      </c>
      <c r="N18" s="118">
        <f>IF($C18="","",N(INDEX(lr_ep,13)))</f>
        <v/>
      </c>
      <c r="O18" s="119">
        <f>IF($C18="","",IF(SUM($N$6:$N$74)=0,0,N($N18)/SUM($N$6:$N$74)))</f>
        <v/>
      </c>
    </row>
    <row r="19">
      <c r="A19" s="112">
        <f>IF(INDEX(lr_key,14)="","",INDEX(lr_bu,14))</f>
        <v/>
      </c>
      <c r="B19" s="112">
        <f>IF(INDEX(lr_key,14)="","",INDEX(lr_state,14))</f>
        <v/>
      </c>
      <c r="C19" s="113">
        <f>INDEX(lr_key,14)</f>
        <v/>
      </c>
      <c r="D19" s="114">
        <f>IF($C19="","",N(INDEX(lr_lrproj,14)))</f>
        <v/>
      </c>
      <c r="E19" s="43">
        <f>IF($C19="","",INDEX(lr_basis,14)&amp;"")</f>
        <v/>
      </c>
      <c r="F19" s="114">
        <f>IF($C19="","",INDEX(calc_lrcur,14))</f>
        <v/>
      </c>
      <c r="G19" s="115">
        <f>IF($C19="","",INDEX(calc_cylr_p,14))</f>
        <v/>
      </c>
      <c r="H19" s="116">
        <f>IF($C19="","",(INDEX(calc_cylr_p,14)-INDEX(calc_lrcur,14))*100)</f>
        <v/>
      </c>
      <c r="I19" s="117">
        <f>IF($C19="","",INDEX(calc_arate_p,14))</f>
        <v/>
      </c>
      <c r="J19" s="117">
        <f>IF($C19="","",INDEX(calc_amod_p,14))</f>
        <v/>
      </c>
      <c r="K19" s="107">
        <f>IF($C19="","",INDEX(calc_echg,14))</f>
        <v/>
      </c>
      <c r="L19" s="107">
        <f>IF($C19="","",INDEX(calc_carry,14))</f>
        <v/>
      </c>
      <c r="M19" s="114">
        <f>IF($C19="","",INDEX(calc_cylr_p1,14))</f>
        <v/>
      </c>
      <c r="N19" s="118">
        <f>IF($C19="","",N(INDEX(lr_ep,14)))</f>
        <v/>
      </c>
      <c r="O19" s="119">
        <f>IF($C19="","",IF(SUM($N$6:$N$74)=0,0,N($N19)/SUM($N$6:$N$74)))</f>
        <v/>
      </c>
    </row>
    <row r="20">
      <c r="A20" s="112">
        <f>IF(INDEX(lr_key,15)="","",INDEX(lr_bu,15))</f>
        <v/>
      </c>
      <c r="B20" s="112">
        <f>IF(INDEX(lr_key,15)="","",INDEX(lr_state,15))</f>
        <v/>
      </c>
      <c r="C20" s="113">
        <f>INDEX(lr_key,15)</f>
        <v/>
      </c>
      <c r="D20" s="114">
        <f>IF($C20="","",N(INDEX(lr_lrproj,15)))</f>
        <v/>
      </c>
      <c r="E20" s="43">
        <f>IF($C20="","",INDEX(lr_basis,15)&amp;"")</f>
        <v/>
      </c>
      <c r="F20" s="114">
        <f>IF($C20="","",INDEX(calc_lrcur,15))</f>
        <v/>
      </c>
      <c r="G20" s="115">
        <f>IF($C20="","",INDEX(calc_cylr_p,15))</f>
        <v/>
      </c>
      <c r="H20" s="116">
        <f>IF($C20="","",(INDEX(calc_cylr_p,15)-INDEX(calc_lrcur,15))*100)</f>
        <v/>
      </c>
      <c r="I20" s="117">
        <f>IF($C20="","",INDEX(calc_arate_p,15))</f>
        <v/>
      </c>
      <c r="J20" s="117">
        <f>IF($C20="","",INDEX(calc_amod_p,15))</f>
        <v/>
      </c>
      <c r="K20" s="107">
        <f>IF($C20="","",INDEX(calc_echg,15))</f>
        <v/>
      </c>
      <c r="L20" s="107">
        <f>IF($C20="","",INDEX(calc_carry,15))</f>
        <v/>
      </c>
      <c r="M20" s="114">
        <f>IF($C20="","",INDEX(calc_cylr_p1,15))</f>
        <v/>
      </c>
      <c r="N20" s="118">
        <f>IF($C20="","",N(INDEX(lr_ep,15)))</f>
        <v/>
      </c>
      <c r="O20" s="119">
        <f>IF($C20="","",IF(SUM($N$6:$N$74)=0,0,N($N20)/SUM($N$6:$N$74)))</f>
        <v/>
      </c>
    </row>
    <row r="21">
      <c r="A21" s="112">
        <f>IF(INDEX(lr_key,16)="","",INDEX(lr_bu,16))</f>
        <v/>
      </c>
      <c r="B21" s="112">
        <f>IF(INDEX(lr_key,16)="","",INDEX(lr_state,16))</f>
        <v/>
      </c>
      <c r="C21" s="113">
        <f>INDEX(lr_key,16)</f>
        <v/>
      </c>
      <c r="D21" s="114">
        <f>IF($C21="","",N(INDEX(lr_lrproj,16)))</f>
        <v/>
      </c>
      <c r="E21" s="43">
        <f>IF($C21="","",INDEX(lr_basis,16)&amp;"")</f>
        <v/>
      </c>
      <c r="F21" s="114">
        <f>IF($C21="","",INDEX(calc_lrcur,16))</f>
        <v/>
      </c>
      <c r="G21" s="115">
        <f>IF($C21="","",INDEX(calc_cylr_p,16))</f>
        <v/>
      </c>
      <c r="H21" s="116">
        <f>IF($C21="","",(INDEX(calc_cylr_p,16)-INDEX(calc_lrcur,16))*100)</f>
        <v/>
      </c>
      <c r="I21" s="117">
        <f>IF($C21="","",INDEX(calc_arate_p,16))</f>
        <v/>
      </c>
      <c r="J21" s="117">
        <f>IF($C21="","",INDEX(calc_amod_p,16))</f>
        <v/>
      </c>
      <c r="K21" s="107">
        <f>IF($C21="","",INDEX(calc_echg,16))</f>
        <v/>
      </c>
      <c r="L21" s="107">
        <f>IF($C21="","",INDEX(calc_carry,16))</f>
        <v/>
      </c>
      <c r="M21" s="114">
        <f>IF($C21="","",INDEX(calc_cylr_p1,16))</f>
        <v/>
      </c>
      <c r="N21" s="118">
        <f>IF($C21="","",N(INDEX(lr_ep,16)))</f>
        <v/>
      </c>
      <c r="O21" s="119">
        <f>IF($C21="","",IF(SUM($N$6:$N$74)=0,0,N($N21)/SUM($N$6:$N$74)))</f>
        <v/>
      </c>
    </row>
    <row r="22">
      <c r="A22" s="112">
        <f>IF(INDEX(lr_key,17)="","",INDEX(lr_bu,17))</f>
        <v/>
      </c>
      <c r="B22" s="112">
        <f>IF(INDEX(lr_key,17)="","",INDEX(lr_state,17))</f>
        <v/>
      </c>
      <c r="C22" s="113">
        <f>INDEX(lr_key,17)</f>
        <v/>
      </c>
      <c r="D22" s="114">
        <f>IF($C22="","",N(INDEX(lr_lrproj,17)))</f>
        <v/>
      </c>
      <c r="E22" s="43">
        <f>IF($C22="","",INDEX(lr_basis,17)&amp;"")</f>
        <v/>
      </c>
      <c r="F22" s="114">
        <f>IF($C22="","",INDEX(calc_lrcur,17))</f>
        <v/>
      </c>
      <c r="G22" s="115">
        <f>IF($C22="","",INDEX(calc_cylr_p,17))</f>
        <v/>
      </c>
      <c r="H22" s="116">
        <f>IF($C22="","",(INDEX(calc_cylr_p,17)-INDEX(calc_lrcur,17))*100)</f>
        <v/>
      </c>
      <c r="I22" s="117">
        <f>IF($C22="","",INDEX(calc_arate_p,17))</f>
        <v/>
      </c>
      <c r="J22" s="117">
        <f>IF($C22="","",INDEX(calc_amod_p,17))</f>
        <v/>
      </c>
      <c r="K22" s="107">
        <f>IF($C22="","",INDEX(calc_echg,17))</f>
        <v/>
      </c>
      <c r="L22" s="107">
        <f>IF($C22="","",INDEX(calc_carry,17))</f>
        <v/>
      </c>
      <c r="M22" s="114">
        <f>IF($C22="","",INDEX(calc_cylr_p1,17))</f>
        <v/>
      </c>
      <c r="N22" s="118">
        <f>IF($C22="","",N(INDEX(lr_ep,17)))</f>
        <v/>
      </c>
      <c r="O22" s="119">
        <f>IF($C22="","",IF(SUM($N$6:$N$74)=0,0,N($N22)/SUM($N$6:$N$74)))</f>
        <v/>
      </c>
    </row>
    <row r="23">
      <c r="A23" s="112">
        <f>IF(INDEX(lr_key,18)="","",INDEX(lr_bu,18))</f>
        <v/>
      </c>
      <c r="B23" s="112">
        <f>IF(INDEX(lr_key,18)="","",INDEX(lr_state,18))</f>
        <v/>
      </c>
      <c r="C23" s="113">
        <f>INDEX(lr_key,18)</f>
        <v/>
      </c>
      <c r="D23" s="114">
        <f>IF($C23="","",N(INDEX(lr_lrproj,18)))</f>
        <v/>
      </c>
      <c r="E23" s="43">
        <f>IF($C23="","",INDEX(lr_basis,18)&amp;"")</f>
        <v/>
      </c>
      <c r="F23" s="114">
        <f>IF($C23="","",INDEX(calc_lrcur,18))</f>
        <v/>
      </c>
      <c r="G23" s="115">
        <f>IF($C23="","",INDEX(calc_cylr_p,18))</f>
        <v/>
      </c>
      <c r="H23" s="116">
        <f>IF($C23="","",(INDEX(calc_cylr_p,18)-INDEX(calc_lrcur,18))*100)</f>
        <v/>
      </c>
      <c r="I23" s="117">
        <f>IF($C23="","",INDEX(calc_arate_p,18))</f>
        <v/>
      </c>
      <c r="J23" s="117">
        <f>IF($C23="","",INDEX(calc_amod_p,18))</f>
        <v/>
      </c>
      <c r="K23" s="107">
        <f>IF($C23="","",INDEX(calc_echg,18))</f>
        <v/>
      </c>
      <c r="L23" s="107">
        <f>IF($C23="","",INDEX(calc_carry,18))</f>
        <v/>
      </c>
      <c r="M23" s="114">
        <f>IF($C23="","",INDEX(calc_cylr_p1,18))</f>
        <v/>
      </c>
      <c r="N23" s="118">
        <f>IF($C23="","",N(INDEX(lr_ep,18)))</f>
        <v/>
      </c>
      <c r="O23" s="119">
        <f>IF($C23="","",IF(SUM($N$6:$N$74)=0,0,N($N23)/SUM($N$6:$N$74)))</f>
        <v/>
      </c>
    </row>
    <row r="24">
      <c r="A24" s="112">
        <f>IF(INDEX(lr_key,19)="","",INDEX(lr_bu,19))</f>
        <v/>
      </c>
      <c r="B24" s="112">
        <f>IF(INDEX(lr_key,19)="","",INDEX(lr_state,19))</f>
        <v/>
      </c>
      <c r="C24" s="113">
        <f>INDEX(lr_key,19)</f>
        <v/>
      </c>
      <c r="D24" s="114">
        <f>IF($C24="","",N(INDEX(lr_lrproj,19)))</f>
        <v/>
      </c>
      <c r="E24" s="43">
        <f>IF($C24="","",INDEX(lr_basis,19)&amp;"")</f>
        <v/>
      </c>
      <c r="F24" s="114">
        <f>IF($C24="","",INDEX(calc_lrcur,19))</f>
        <v/>
      </c>
      <c r="G24" s="115">
        <f>IF($C24="","",INDEX(calc_cylr_p,19))</f>
        <v/>
      </c>
      <c r="H24" s="116">
        <f>IF($C24="","",(INDEX(calc_cylr_p,19)-INDEX(calc_lrcur,19))*100)</f>
        <v/>
      </c>
      <c r="I24" s="117">
        <f>IF($C24="","",INDEX(calc_arate_p,19))</f>
        <v/>
      </c>
      <c r="J24" s="117">
        <f>IF($C24="","",INDEX(calc_amod_p,19))</f>
        <v/>
      </c>
      <c r="K24" s="107">
        <f>IF($C24="","",INDEX(calc_echg,19))</f>
        <v/>
      </c>
      <c r="L24" s="107">
        <f>IF($C24="","",INDEX(calc_carry,19))</f>
        <v/>
      </c>
      <c r="M24" s="114">
        <f>IF($C24="","",INDEX(calc_cylr_p1,19))</f>
        <v/>
      </c>
      <c r="N24" s="118">
        <f>IF($C24="","",N(INDEX(lr_ep,19)))</f>
        <v/>
      </c>
      <c r="O24" s="119">
        <f>IF($C24="","",IF(SUM($N$6:$N$74)=0,0,N($N24)/SUM($N$6:$N$74)))</f>
        <v/>
      </c>
    </row>
    <row r="25">
      <c r="A25" s="112">
        <f>IF(INDEX(lr_key,20)="","",INDEX(lr_bu,20))</f>
        <v/>
      </c>
      <c r="B25" s="112">
        <f>IF(INDEX(lr_key,20)="","",INDEX(lr_state,20))</f>
        <v/>
      </c>
      <c r="C25" s="113">
        <f>INDEX(lr_key,20)</f>
        <v/>
      </c>
      <c r="D25" s="114">
        <f>IF($C25="","",N(INDEX(lr_lrproj,20)))</f>
        <v/>
      </c>
      <c r="E25" s="43">
        <f>IF($C25="","",INDEX(lr_basis,20)&amp;"")</f>
        <v/>
      </c>
      <c r="F25" s="114">
        <f>IF($C25="","",INDEX(calc_lrcur,20))</f>
        <v/>
      </c>
      <c r="G25" s="115">
        <f>IF($C25="","",INDEX(calc_cylr_p,20))</f>
        <v/>
      </c>
      <c r="H25" s="116">
        <f>IF($C25="","",(INDEX(calc_cylr_p,20)-INDEX(calc_lrcur,20))*100)</f>
        <v/>
      </c>
      <c r="I25" s="117">
        <f>IF($C25="","",INDEX(calc_arate_p,20))</f>
        <v/>
      </c>
      <c r="J25" s="117">
        <f>IF($C25="","",INDEX(calc_amod_p,20))</f>
        <v/>
      </c>
      <c r="K25" s="107">
        <f>IF($C25="","",INDEX(calc_echg,20))</f>
        <v/>
      </c>
      <c r="L25" s="107">
        <f>IF($C25="","",INDEX(calc_carry,20))</f>
        <v/>
      </c>
      <c r="M25" s="114">
        <f>IF($C25="","",INDEX(calc_cylr_p1,20))</f>
        <v/>
      </c>
      <c r="N25" s="118">
        <f>IF($C25="","",N(INDEX(lr_ep,20)))</f>
        <v/>
      </c>
      <c r="O25" s="119">
        <f>IF($C25="","",IF(SUM($N$6:$N$74)=0,0,N($N25)/SUM($N$6:$N$74)))</f>
        <v/>
      </c>
    </row>
    <row r="26">
      <c r="A26" s="112">
        <f>IF(INDEX(lr_key,21)="","",INDEX(lr_bu,21))</f>
        <v/>
      </c>
      <c r="B26" s="112">
        <f>IF(INDEX(lr_key,21)="","",INDEX(lr_state,21))</f>
        <v/>
      </c>
      <c r="C26" s="113">
        <f>INDEX(lr_key,21)</f>
        <v/>
      </c>
      <c r="D26" s="114">
        <f>IF($C26="","",N(INDEX(lr_lrproj,21)))</f>
        <v/>
      </c>
      <c r="E26" s="43">
        <f>IF($C26="","",INDEX(lr_basis,21)&amp;"")</f>
        <v/>
      </c>
      <c r="F26" s="114">
        <f>IF($C26="","",INDEX(calc_lrcur,21))</f>
        <v/>
      </c>
      <c r="G26" s="115">
        <f>IF($C26="","",INDEX(calc_cylr_p,21))</f>
        <v/>
      </c>
      <c r="H26" s="116">
        <f>IF($C26="","",(INDEX(calc_cylr_p,21)-INDEX(calc_lrcur,21))*100)</f>
        <v/>
      </c>
      <c r="I26" s="117">
        <f>IF($C26="","",INDEX(calc_arate_p,21))</f>
        <v/>
      </c>
      <c r="J26" s="117">
        <f>IF($C26="","",INDEX(calc_amod_p,21))</f>
        <v/>
      </c>
      <c r="K26" s="107">
        <f>IF($C26="","",INDEX(calc_echg,21))</f>
        <v/>
      </c>
      <c r="L26" s="107">
        <f>IF($C26="","",INDEX(calc_carry,21))</f>
        <v/>
      </c>
      <c r="M26" s="114">
        <f>IF($C26="","",INDEX(calc_cylr_p1,21))</f>
        <v/>
      </c>
      <c r="N26" s="118">
        <f>IF($C26="","",N(INDEX(lr_ep,21)))</f>
        <v/>
      </c>
      <c r="O26" s="119">
        <f>IF($C26="","",IF(SUM($N$6:$N$74)=0,0,N($N26)/SUM($N$6:$N$74)))</f>
        <v/>
      </c>
    </row>
    <row r="27">
      <c r="A27" s="112">
        <f>IF(INDEX(lr_key,22)="","",INDEX(lr_bu,22))</f>
        <v/>
      </c>
      <c r="B27" s="112">
        <f>IF(INDEX(lr_key,22)="","",INDEX(lr_state,22))</f>
        <v/>
      </c>
      <c r="C27" s="113">
        <f>INDEX(lr_key,22)</f>
        <v/>
      </c>
      <c r="D27" s="114">
        <f>IF($C27="","",N(INDEX(lr_lrproj,22)))</f>
        <v/>
      </c>
      <c r="E27" s="43">
        <f>IF($C27="","",INDEX(lr_basis,22)&amp;"")</f>
        <v/>
      </c>
      <c r="F27" s="114">
        <f>IF($C27="","",INDEX(calc_lrcur,22))</f>
        <v/>
      </c>
      <c r="G27" s="115">
        <f>IF($C27="","",INDEX(calc_cylr_p,22))</f>
        <v/>
      </c>
      <c r="H27" s="116">
        <f>IF($C27="","",(INDEX(calc_cylr_p,22)-INDEX(calc_lrcur,22))*100)</f>
        <v/>
      </c>
      <c r="I27" s="117">
        <f>IF($C27="","",INDEX(calc_arate_p,22))</f>
        <v/>
      </c>
      <c r="J27" s="117">
        <f>IF($C27="","",INDEX(calc_amod_p,22))</f>
        <v/>
      </c>
      <c r="K27" s="107">
        <f>IF($C27="","",INDEX(calc_echg,22))</f>
        <v/>
      </c>
      <c r="L27" s="107">
        <f>IF($C27="","",INDEX(calc_carry,22))</f>
        <v/>
      </c>
      <c r="M27" s="114">
        <f>IF($C27="","",INDEX(calc_cylr_p1,22))</f>
        <v/>
      </c>
      <c r="N27" s="118">
        <f>IF($C27="","",N(INDEX(lr_ep,22)))</f>
        <v/>
      </c>
      <c r="O27" s="119">
        <f>IF($C27="","",IF(SUM($N$6:$N$74)=0,0,N($N27)/SUM($N$6:$N$74)))</f>
        <v/>
      </c>
    </row>
    <row r="28">
      <c r="A28" s="112">
        <f>IF(INDEX(lr_key,23)="","",INDEX(lr_bu,23))</f>
        <v/>
      </c>
      <c r="B28" s="112">
        <f>IF(INDEX(lr_key,23)="","",INDEX(lr_state,23))</f>
        <v/>
      </c>
      <c r="C28" s="113">
        <f>INDEX(lr_key,23)</f>
        <v/>
      </c>
      <c r="D28" s="114">
        <f>IF($C28="","",N(INDEX(lr_lrproj,23)))</f>
        <v/>
      </c>
      <c r="E28" s="43">
        <f>IF($C28="","",INDEX(lr_basis,23)&amp;"")</f>
        <v/>
      </c>
      <c r="F28" s="114">
        <f>IF($C28="","",INDEX(calc_lrcur,23))</f>
        <v/>
      </c>
      <c r="G28" s="115">
        <f>IF($C28="","",INDEX(calc_cylr_p,23))</f>
        <v/>
      </c>
      <c r="H28" s="116">
        <f>IF($C28="","",(INDEX(calc_cylr_p,23)-INDEX(calc_lrcur,23))*100)</f>
        <v/>
      </c>
      <c r="I28" s="117">
        <f>IF($C28="","",INDEX(calc_arate_p,23))</f>
        <v/>
      </c>
      <c r="J28" s="117">
        <f>IF($C28="","",INDEX(calc_amod_p,23))</f>
        <v/>
      </c>
      <c r="K28" s="107">
        <f>IF($C28="","",INDEX(calc_echg,23))</f>
        <v/>
      </c>
      <c r="L28" s="107">
        <f>IF($C28="","",INDEX(calc_carry,23))</f>
        <v/>
      </c>
      <c r="M28" s="114">
        <f>IF($C28="","",INDEX(calc_cylr_p1,23))</f>
        <v/>
      </c>
      <c r="N28" s="118">
        <f>IF($C28="","",N(INDEX(lr_ep,23)))</f>
        <v/>
      </c>
      <c r="O28" s="119">
        <f>IF($C28="","",IF(SUM($N$6:$N$74)=0,0,N($N28)/SUM($N$6:$N$74)))</f>
        <v/>
      </c>
    </row>
    <row r="29">
      <c r="A29" s="112">
        <f>IF(INDEX(lr_key,24)="","",INDEX(lr_bu,24))</f>
        <v/>
      </c>
      <c r="B29" s="112">
        <f>IF(INDEX(lr_key,24)="","",INDEX(lr_state,24))</f>
        <v/>
      </c>
      <c r="C29" s="113">
        <f>INDEX(lr_key,24)</f>
        <v/>
      </c>
      <c r="D29" s="114">
        <f>IF($C29="","",N(INDEX(lr_lrproj,24)))</f>
        <v/>
      </c>
      <c r="E29" s="43">
        <f>IF($C29="","",INDEX(lr_basis,24)&amp;"")</f>
        <v/>
      </c>
      <c r="F29" s="114">
        <f>IF($C29="","",INDEX(calc_lrcur,24))</f>
        <v/>
      </c>
      <c r="G29" s="115">
        <f>IF($C29="","",INDEX(calc_cylr_p,24))</f>
        <v/>
      </c>
      <c r="H29" s="116">
        <f>IF($C29="","",(INDEX(calc_cylr_p,24)-INDEX(calc_lrcur,24))*100)</f>
        <v/>
      </c>
      <c r="I29" s="117">
        <f>IF($C29="","",INDEX(calc_arate_p,24))</f>
        <v/>
      </c>
      <c r="J29" s="117">
        <f>IF($C29="","",INDEX(calc_amod_p,24))</f>
        <v/>
      </c>
      <c r="K29" s="107">
        <f>IF($C29="","",INDEX(calc_echg,24))</f>
        <v/>
      </c>
      <c r="L29" s="107">
        <f>IF($C29="","",INDEX(calc_carry,24))</f>
        <v/>
      </c>
      <c r="M29" s="114">
        <f>IF($C29="","",INDEX(calc_cylr_p1,24))</f>
        <v/>
      </c>
      <c r="N29" s="118">
        <f>IF($C29="","",N(INDEX(lr_ep,24)))</f>
        <v/>
      </c>
      <c r="O29" s="119">
        <f>IF($C29="","",IF(SUM($N$6:$N$74)=0,0,N($N29)/SUM($N$6:$N$74)))</f>
        <v/>
      </c>
    </row>
    <row r="30">
      <c r="A30" s="112">
        <f>IF(INDEX(lr_key,25)="","",INDEX(lr_bu,25))</f>
        <v/>
      </c>
      <c r="B30" s="112">
        <f>IF(INDEX(lr_key,25)="","",INDEX(lr_state,25))</f>
        <v/>
      </c>
      <c r="C30" s="113">
        <f>INDEX(lr_key,25)</f>
        <v/>
      </c>
      <c r="D30" s="114">
        <f>IF($C30="","",N(INDEX(lr_lrproj,25)))</f>
        <v/>
      </c>
      <c r="E30" s="43">
        <f>IF($C30="","",INDEX(lr_basis,25)&amp;"")</f>
        <v/>
      </c>
      <c r="F30" s="114">
        <f>IF($C30="","",INDEX(calc_lrcur,25))</f>
        <v/>
      </c>
      <c r="G30" s="115">
        <f>IF($C30="","",INDEX(calc_cylr_p,25))</f>
        <v/>
      </c>
      <c r="H30" s="116">
        <f>IF($C30="","",(INDEX(calc_cylr_p,25)-INDEX(calc_lrcur,25))*100)</f>
        <v/>
      </c>
      <c r="I30" s="117">
        <f>IF($C30="","",INDEX(calc_arate_p,25))</f>
        <v/>
      </c>
      <c r="J30" s="117">
        <f>IF($C30="","",INDEX(calc_amod_p,25))</f>
        <v/>
      </c>
      <c r="K30" s="107">
        <f>IF($C30="","",INDEX(calc_echg,25))</f>
        <v/>
      </c>
      <c r="L30" s="107">
        <f>IF($C30="","",INDEX(calc_carry,25))</f>
        <v/>
      </c>
      <c r="M30" s="114">
        <f>IF($C30="","",INDEX(calc_cylr_p1,25))</f>
        <v/>
      </c>
      <c r="N30" s="118">
        <f>IF($C30="","",N(INDEX(lr_ep,25)))</f>
        <v/>
      </c>
      <c r="O30" s="119">
        <f>IF($C30="","",IF(SUM($N$6:$N$74)=0,0,N($N30)/SUM($N$6:$N$74)))</f>
        <v/>
      </c>
    </row>
    <row r="31">
      <c r="A31" s="112">
        <f>IF(INDEX(lr_key,26)="","",INDEX(lr_bu,26))</f>
        <v/>
      </c>
      <c r="B31" s="112">
        <f>IF(INDEX(lr_key,26)="","",INDEX(lr_state,26))</f>
        <v/>
      </c>
      <c r="C31" s="113">
        <f>INDEX(lr_key,26)</f>
        <v/>
      </c>
      <c r="D31" s="114">
        <f>IF($C31="","",N(INDEX(lr_lrproj,26)))</f>
        <v/>
      </c>
      <c r="E31" s="43">
        <f>IF($C31="","",INDEX(lr_basis,26)&amp;"")</f>
        <v/>
      </c>
      <c r="F31" s="114">
        <f>IF($C31="","",INDEX(calc_lrcur,26))</f>
        <v/>
      </c>
      <c r="G31" s="115">
        <f>IF($C31="","",INDEX(calc_cylr_p,26))</f>
        <v/>
      </c>
      <c r="H31" s="116">
        <f>IF($C31="","",(INDEX(calc_cylr_p,26)-INDEX(calc_lrcur,26))*100)</f>
        <v/>
      </c>
      <c r="I31" s="117">
        <f>IF($C31="","",INDEX(calc_arate_p,26))</f>
        <v/>
      </c>
      <c r="J31" s="117">
        <f>IF($C31="","",INDEX(calc_amod_p,26))</f>
        <v/>
      </c>
      <c r="K31" s="107">
        <f>IF($C31="","",INDEX(calc_echg,26))</f>
        <v/>
      </c>
      <c r="L31" s="107">
        <f>IF($C31="","",INDEX(calc_carry,26))</f>
        <v/>
      </c>
      <c r="M31" s="114">
        <f>IF($C31="","",INDEX(calc_cylr_p1,26))</f>
        <v/>
      </c>
      <c r="N31" s="118">
        <f>IF($C31="","",N(INDEX(lr_ep,26)))</f>
        <v/>
      </c>
      <c r="O31" s="119">
        <f>IF($C31="","",IF(SUM($N$6:$N$74)=0,0,N($N31)/SUM($N$6:$N$74)))</f>
        <v/>
      </c>
    </row>
    <row r="32">
      <c r="A32" s="112">
        <f>IF(INDEX(lr_key,27)="","",INDEX(lr_bu,27))</f>
        <v/>
      </c>
      <c r="B32" s="112">
        <f>IF(INDEX(lr_key,27)="","",INDEX(lr_state,27))</f>
        <v/>
      </c>
      <c r="C32" s="113">
        <f>INDEX(lr_key,27)</f>
        <v/>
      </c>
      <c r="D32" s="114">
        <f>IF($C32="","",N(INDEX(lr_lrproj,27)))</f>
        <v/>
      </c>
      <c r="E32" s="43">
        <f>IF($C32="","",INDEX(lr_basis,27)&amp;"")</f>
        <v/>
      </c>
      <c r="F32" s="114">
        <f>IF($C32="","",INDEX(calc_lrcur,27))</f>
        <v/>
      </c>
      <c r="G32" s="115">
        <f>IF($C32="","",INDEX(calc_cylr_p,27))</f>
        <v/>
      </c>
      <c r="H32" s="116">
        <f>IF($C32="","",(INDEX(calc_cylr_p,27)-INDEX(calc_lrcur,27))*100)</f>
        <v/>
      </c>
      <c r="I32" s="117">
        <f>IF($C32="","",INDEX(calc_arate_p,27))</f>
        <v/>
      </c>
      <c r="J32" s="117">
        <f>IF($C32="","",INDEX(calc_amod_p,27))</f>
        <v/>
      </c>
      <c r="K32" s="107">
        <f>IF($C32="","",INDEX(calc_echg,27))</f>
        <v/>
      </c>
      <c r="L32" s="107">
        <f>IF($C32="","",INDEX(calc_carry,27))</f>
        <v/>
      </c>
      <c r="M32" s="114">
        <f>IF($C32="","",INDEX(calc_cylr_p1,27))</f>
        <v/>
      </c>
      <c r="N32" s="118">
        <f>IF($C32="","",N(INDEX(lr_ep,27)))</f>
        <v/>
      </c>
      <c r="O32" s="119">
        <f>IF($C32="","",IF(SUM($N$6:$N$74)=0,0,N($N32)/SUM($N$6:$N$74)))</f>
        <v/>
      </c>
    </row>
    <row r="33">
      <c r="A33" s="112">
        <f>IF(INDEX(lr_key,28)="","",INDEX(lr_bu,28))</f>
        <v/>
      </c>
      <c r="B33" s="112">
        <f>IF(INDEX(lr_key,28)="","",INDEX(lr_state,28))</f>
        <v/>
      </c>
      <c r="C33" s="113">
        <f>INDEX(lr_key,28)</f>
        <v/>
      </c>
      <c r="D33" s="114">
        <f>IF($C33="","",N(INDEX(lr_lrproj,28)))</f>
        <v/>
      </c>
      <c r="E33" s="43">
        <f>IF($C33="","",INDEX(lr_basis,28)&amp;"")</f>
        <v/>
      </c>
      <c r="F33" s="114">
        <f>IF($C33="","",INDEX(calc_lrcur,28))</f>
        <v/>
      </c>
      <c r="G33" s="115">
        <f>IF($C33="","",INDEX(calc_cylr_p,28))</f>
        <v/>
      </c>
      <c r="H33" s="116">
        <f>IF($C33="","",(INDEX(calc_cylr_p,28)-INDEX(calc_lrcur,28))*100)</f>
        <v/>
      </c>
      <c r="I33" s="117">
        <f>IF($C33="","",INDEX(calc_arate_p,28))</f>
        <v/>
      </c>
      <c r="J33" s="117">
        <f>IF($C33="","",INDEX(calc_amod_p,28))</f>
        <v/>
      </c>
      <c r="K33" s="107">
        <f>IF($C33="","",INDEX(calc_echg,28))</f>
        <v/>
      </c>
      <c r="L33" s="107">
        <f>IF($C33="","",INDEX(calc_carry,28))</f>
        <v/>
      </c>
      <c r="M33" s="114">
        <f>IF($C33="","",INDEX(calc_cylr_p1,28))</f>
        <v/>
      </c>
      <c r="N33" s="118">
        <f>IF($C33="","",N(INDEX(lr_ep,28)))</f>
        <v/>
      </c>
      <c r="O33" s="119">
        <f>IF($C33="","",IF(SUM($N$6:$N$74)=0,0,N($N33)/SUM($N$6:$N$74)))</f>
        <v/>
      </c>
    </row>
    <row r="34">
      <c r="A34" s="112">
        <f>IF(INDEX(lr_key,29)="","",INDEX(lr_bu,29))</f>
        <v/>
      </c>
      <c r="B34" s="112">
        <f>IF(INDEX(lr_key,29)="","",INDEX(lr_state,29))</f>
        <v/>
      </c>
      <c r="C34" s="113">
        <f>INDEX(lr_key,29)</f>
        <v/>
      </c>
      <c r="D34" s="114">
        <f>IF($C34="","",N(INDEX(lr_lrproj,29)))</f>
        <v/>
      </c>
      <c r="E34" s="43">
        <f>IF($C34="","",INDEX(lr_basis,29)&amp;"")</f>
        <v/>
      </c>
      <c r="F34" s="114">
        <f>IF($C34="","",INDEX(calc_lrcur,29))</f>
        <v/>
      </c>
      <c r="G34" s="115">
        <f>IF($C34="","",INDEX(calc_cylr_p,29))</f>
        <v/>
      </c>
      <c r="H34" s="116">
        <f>IF($C34="","",(INDEX(calc_cylr_p,29)-INDEX(calc_lrcur,29))*100)</f>
        <v/>
      </c>
      <c r="I34" s="117">
        <f>IF($C34="","",INDEX(calc_arate_p,29))</f>
        <v/>
      </c>
      <c r="J34" s="117">
        <f>IF($C34="","",INDEX(calc_amod_p,29))</f>
        <v/>
      </c>
      <c r="K34" s="107">
        <f>IF($C34="","",INDEX(calc_echg,29))</f>
        <v/>
      </c>
      <c r="L34" s="107">
        <f>IF($C34="","",INDEX(calc_carry,29))</f>
        <v/>
      </c>
      <c r="M34" s="114">
        <f>IF($C34="","",INDEX(calc_cylr_p1,29))</f>
        <v/>
      </c>
      <c r="N34" s="118">
        <f>IF($C34="","",N(INDEX(lr_ep,29)))</f>
        <v/>
      </c>
      <c r="O34" s="119">
        <f>IF($C34="","",IF(SUM($N$6:$N$74)=0,0,N($N34)/SUM($N$6:$N$74)))</f>
        <v/>
      </c>
    </row>
    <row r="35">
      <c r="A35" s="112">
        <f>IF(INDEX(lr_key,30)="","",INDEX(lr_bu,30))</f>
        <v/>
      </c>
      <c r="B35" s="112">
        <f>IF(INDEX(lr_key,30)="","",INDEX(lr_state,30))</f>
        <v/>
      </c>
      <c r="C35" s="113">
        <f>INDEX(lr_key,30)</f>
        <v/>
      </c>
      <c r="D35" s="114">
        <f>IF($C35="","",N(INDEX(lr_lrproj,30)))</f>
        <v/>
      </c>
      <c r="E35" s="43">
        <f>IF($C35="","",INDEX(lr_basis,30)&amp;"")</f>
        <v/>
      </c>
      <c r="F35" s="114">
        <f>IF($C35="","",INDEX(calc_lrcur,30))</f>
        <v/>
      </c>
      <c r="G35" s="115">
        <f>IF($C35="","",INDEX(calc_cylr_p,30))</f>
        <v/>
      </c>
      <c r="H35" s="116">
        <f>IF($C35="","",(INDEX(calc_cylr_p,30)-INDEX(calc_lrcur,30))*100)</f>
        <v/>
      </c>
      <c r="I35" s="117">
        <f>IF($C35="","",INDEX(calc_arate_p,30))</f>
        <v/>
      </c>
      <c r="J35" s="117">
        <f>IF($C35="","",INDEX(calc_amod_p,30))</f>
        <v/>
      </c>
      <c r="K35" s="107">
        <f>IF($C35="","",INDEX(calc_echg,30))</f>
        <v/>
      </c>
      <c r="L35" s="107">
        <f>IF($C35="","",INDEX(calc_carry,30))</f>
        <v/>
      </c>
      <c r="M35" s="114">
        <f>IF($C35="","",INDEX(calc_cylr_p1,30))</f>
        <v/>
      </c>
      <c r="N35" s="118">
        <f>IF($C35="","",N(INDEX(lr_ep,30)))</f>
        <v/>
      </c>
      <c r="O35" s="119">
        <f>IF($C35="","",IF(SUM($N$6:$N$74)=0,0,N($N35)/SUM($N$6:$N$74)))</f>
        <v/>
      </c>
    </row>
    <row r="36">
      <c r="A36" s="112">
        <f>IF(INDEX(lr_key,31)="","",INDEX(lr_bu,31))</f>
        <v/>
      </c>
      <c r="B36" s="112">
        <f>IF(INDEX(lr_key,31)="","",INDEX(lr_state,31))</f>
        <v/>
      </c>
      <c r="C36" s="113">
        <f>INDEX(lr_key,31)</f>
        <v/>
      </c>
      <c r="D36" s="114">
        <f>IF($C36="","",N(INDEX(lr_lrproj,31)))</f>
        <v/>
      </c>
      <c r="E36" s="43">
        <f>IF($C36="","",INDEX(lr_basis,31)&amp;"")</f>
        <v/>
      </c>
      <c r="F36" s="114">
        <f>IF($C36="","",INDEX(calc_lrcur,31))</f>
        <v/>
      </c>
      <c r="G36" s="115">
        <f>IF($C36="","",INDEX(calc_cylr_p,31))</f>
        <v/>
      </c>
      <c r="H36" s="116">
        <f>IF($C36="","",(INDEX(calc_cylr_p,31)-INDEX(calc_lrcur,31))*100)</f>
        <v/>
      </c>
      <c r="I36" s="117">
        <f>IF($C36="","",INDEX(calc_arate_p,31))</f>
        <v/>
      </c>
      <c r="J36" s="117">
        <f>IF($C36="","",INDEX(calc_amod_p,31))</f>
        <v/>
      </c>
      <c r="K36" s="107">
        <f>IF($C36="","",INDEX(calc_echg,31))</f>
        <v/>
      </c>
      <c r="L36" s="107">
        <f>IF($C36="","",INDEX(calc_carry,31))</f>
        <v/>
      </c>
      <c r="M36" s="114">
        <f>IF($C36="","",INDEX(calc_cylr_p1,31))</f>
        <v/>
      </c>
      <c r="N36" s="118">
        <f>IF($C36="","",N(INDEX(lr_ep,31)))</f>
        <v/>
      </c>
      <c r="O36" s="119">
        <f>IF($C36="","",IF(SUM($N$6:$N$74)=0,0,N($N36)/SUM($N$6:$N$74)))</f>
        <v/>
      </c>
    </row>
    <row r="37">
      <c r="A37" s="112">
        <f>IF(INDEX(lr_key,32)="","",INDEX(lr_bu,32))</f>
        <v/>
      </c>
      <c r="B37" s="112">
        <f>IF(INDEX(lr_key,32)="","",INDEX(lr_state,32))</f>
        <v/>
      </c>
      <c r="C37" s="113">
        <f>INDEX(lr_key,32)</f>
        <v/>
      </c>
      <c r="D37" s="114">
        <f>IF($C37="","",N(INDEX(lr_lrproj,32)))</f>
        <v/>
      </c>
      <c r="E37" s="43">
        <f>IF($C37="","",INDEX(lr_basis,32)&amp;"")</f>
        <v/>
      </c>
      <c r="F37" s="114">
        <f>IF($C37="","",INDEX(calc_lrcur,32))</f>
        <v/>
      </c>
      <c r="G37" s="115">
        <f>IF($C37="","",INDEX(calc_cylr_p,32))</f>
        <v/>
      </c>
      <c r="H37" s="116">
        <f>IF($C37="","",(INDEX(calc_cylr_p,32)-INDEX(calc_lrcur,32))*100)</f>
        <v/>
      </c>
      <c r="I37" s="117">
        <f>IF($C37="","",INDEX(calc_arate_p,32))</f>
        <v/>
      </c>
      <c r="J37" s="117">
        <f>IF($C37="","",INDEX(calc_amod_p,32))</f>
        <v/>
      </c>
      <c r="K37" s="107">
        <f>IF($C37="","",INDEX(calc_echg,32))</f>
        <v/>
      </c>
      <c r="L37" s="107">
        <f>IF($C37="","",INDEX(calc_carry,32))</f>
        <v/>
      </c>
      <c r="M37" s="114">
        <f>IF($C37="","",INDEX(calc_cylr_p1,32))</f>
        <v/>
      </c>
      <c r="N37" s="118">
        <f>IF($C37="","",N(INDEX(lr_ep,32)))</f>
        <v/>
      </c>
      <c r="O37" s="119">
        <f>IF($C37="","",IF(SUM($N$6:$N$74)=0,0,N($N37)/SUM($N$6:$N$74)))</f>
        <v/>
      </c>
    </row>
    <row r="38">
      <c r="A38" s="112">
        <f>IF(INDEX(lr_key,33)="","",INDEX(lr_bu,33))</f>
        <v/>
      </c>
      <c r="B38" s="112">
        <f>IF(INDEX(lr_key,33)="","",INDEX(lr_state,33))</f>
        <v/>
      </c>
      <c r="C38" s="113">
        <f>INDEX(lr_key,33)</f>
        <v/>
      </c>
      <c r="D38" s="114">
        <f>IF($C38="","",N(INDEX(lr_lrproj,33)))</f>
        <v/>
      </c>
      <c r="E38" s="43">
        <f>IF($C38="","",INDEX(lr_basis,33)&amp;"")</f>
        <v/>
      </c>
      <c r="F38" s="114">
        <f>IF($C38="","",INDEX(calc_lrcur,33))</f>
        <v/>
      </c>
      <c r="G38" s="115">
        <f>IF($C38="","",INDEX(calc_cylr_p,33))</f>
        <v/>
      </c>
      <c r="H38" s="116">
        <f>IF($C38="","",(INDEX(calc_cylr_p,33)-INDEX(calc_lrcur,33))*100)</f>
        <v/>
      </c>
      <c r="I38" s="117">
        <f>IF($C38="","",INDEX(calc_arate_p,33))</f>
        <v/>
      </c>
      <c r="J38" s="117">
        <f>IF($C38="","",INDEX(calc_amod_p,33))</f>
        <v/>
      </c>
      <c r="K38" s="107">
        <f>IF($C38="","",INDEX(calc_echg,33))</f>
        <v/>
      </c>
      <c r="L38" s="107">
        <f>IF($C38="","",INDEX(calc_carry,33))</f>
        <v/>
      </c>
      <c r="M38" s="114">
        <f>IF($C38="","",INDEX(calc_cylr_p1,33))</f>
        <v/>
      </c>
      <c r="N38" s="118">
        <f>IF($C38="","",N(INDEX(lr_ep,33)))</f>
        <v/>
      </c>
      <c r="O38" s="119">
        <f>IF($C38="","",IF(SUM($N$6:$N$74)=0,0,N($N38)/SUM($N$6:$N$74)))</f>
        <v/>
      </c>
    </row>
    <row r="39">
      <c r="A39" s="112">
        <f>IF(INDEX(lr_key,34)="","",INDEX(lr_bu,34))</f>
        <v/>
      </c>
      <c r="B39" s="112">
        <f>IF(INDEX(lr_key,34)="","",INDEX(lr_state,34))</f>
        <v/>
      </c>
      <c r="C39" s="113">
        <f>INDEX(lr_key,34)</f>
        <v/>
      </c>
      <c r="D39" s="114">
        <f>IF($C39="","",N(INDEX(lr_lrproj,34)))</f>
        <v/>
      </c>
      <c r="E39" s="43">
        <f>IF($C39="","",INDEX(lr_basis,34)&amp;"")</f>
        <v/>
      </c>
      <c r="F39" s="114">
        <f>IF($C39="","",INDEX(calc_lrcur,34))</f>
        <v/>
      </c>
      <c r="G39" s="115">
        <f>IF($C39="","",INDEX(calc_cylr_p,34))</f>
        <v/>
      </c>
      <c r="H39" s="116">
        <f>IF($C39="","",(INDEX(calc_cylr_p,34)-INDEX(calc_lrcur,34))*100)</f>
        <v/>
      </c>
      <c r="I39" s="117">
        <f>IF($C39="","",INDEX(calc_arate_p,34))</f>
        <v/>
      </c>
      <c r="J39" s="117">
        <f>IF($C39="","",INDEX(calc_amod_p,34))</f>
        <v/>
      </c>
      <c r="K39" s="107">
        <f>IF($C39="","",INDEX(calc_echg,34))</f>
        <v/>
      </c>
      <c r="L39" s="107">
        <f>IF($C39="","",INDEX(calc_carry,34))</f>
        <v/>
      </c>
      <c r="M39" s="114">
        <f>IF($C39="","",INDEX(calc_cylr_p1,34))</f>
        <v/>
      </c>
      <c r="N39" s="118">
        <f>IF($C39="","",N(INDEX(lr_ep,34)))</f>
        <v/>
      </c>
      <c r="O39" s="119">
        <f>IF($C39="","",IF(SUM($N$6:$N$74)=0,0,N($N39)/SUM($N$6:$N$74)))</f>
        <v/>
      </c>
    </row>
    <row r="40">
      <c r="A40" s="112">
        <f>IF(INDEX(lr_key,35)="","",INDEX(lr_bu,35))</f>
        <v/>
      </c>
      <c r="B40" s="112">
        <f>IF(INDEX(lr_key,35)="","",INDEX(lr_state,35))</f>
        <v/>
      </c>
      <c r="C40" s="113">
        <f>INDEX(lr_key,35)</f>
        <v/>
      </c>
      <c r="D40" s="114">
        <f>IF($C40="","",N(INDEX(lr_lrproj,35)))</f>
        <v/>
      </c>
      <c r="E40" s="43">
        <f>IF($C40="","",INDEX(lr_basis,35)&amp;"")</f>
        <v/>
      </c>
      <c r="F40" s="114">
        <f>IF($C40="","",INDEX(calc_lrcur,35))</f>
        <v/>
      </c>
      <c r="G40" s="115">
        <f>IF($C40="","",INDEX(calc_cylr_p,35))</f>
        <v/>
      </c>
      <c r="H40" s="116">
        <f>IF($C40="","",(INDEX(calc_cylr_p,35)-INDEX(calc_lrcur,35))*100)</f>
        <v/>
      </c>
      <c r="I40" s="117">
        <f>IF($C40="","",INDEX(calc_arate_p,35))</f>
        <v/>
      </c>
      <c r="J40" s="117">
        <f>IF($C40="","",INDEX(calc_amod_p,35))</f>
        <v/>
      </c>
      <c r="K40" s="107">
        <f>IF($C40="","",INDEX(calc_echg,35))</f>
        <v/>
      </c>
      <c r="L40" s="107">
        <f>IF($C40="","",INDEX(calc_carry,35))</f>
        <v/>
      </c>
      <c r="M40" s="114">
        <f>IF($C40="","",INDEX(calc_cylr_p1,35))</f>
        <v/>
      </c>
      <c r="N40" s="118">
        <f>IF($C40="","",N(INDEX(lr_ep,35)))</f>
        <v/>
      </c>
      <c r="O40" s="119">
        <f>IF($C40="","",IF(SUM($N$6:$N$74)=0,0,N($N40)/SUM($N$6:$N$74)))</f>
        <v/>
      </c>
    </row>
    <row r="41">
      <c r="A41" s="112">
        <f>IF(INDEX(lr_key,36)="","",INDEX(lr_bu,36))</f>
        <v/>
      </c>
      <c r="B41" s="112">
        <f>IF(INDEX(lr_key,36)="","",INDEX(lr_state,36))</f>
        <v/>
      </c>
      <c r="C41" s="113">
        <f>INDEX(lr_key,36)</f>
        <v/>
      </c>
      <c r="D41" s="114">
        <f>IF($C41="","",N(INDEX(lr_lrproj,36)))</f>
        <v/>
      </c>
      <c r="E41" s="43">
        <f>IF($C41="","",INDEX(lr_basis,36)&amp;"")</f>
        <v/>
      </c>
      <c r="F41" s="114">
        <f>IF($C41="","",INDEX(calc_lrcur,36))</f>
        <v/>
      </c>
      <c r="G41" s="115">
        <f>IF($C41="","",INDEX(calc_cylr_p,36))</f>
        <v/>
      </c>
      <c r="H41" s="116">
        <f>IF($C41="","",(INDEX(calc_cylr_p,36)-INDEX(calc_lrcur,36))*100)</f>
        <v/>
      </c>
      <c r="I41" s="117">
        <f>IF($C41="","",INDEX(calc_arate_p,36))</f>
        <v/>
      </c>
      <c r="J41" s="117">
        <f>IF($C41="","",INDEX(calc_amod_p,36))</f>
        <v/>
      </c>
      <c r="K41" s="107">
        <f>IF($C41="","",INDEX(calc_echg,36))</f>
        <v/>
      </c>
      <c r="L41" s="107">
        <f>IF($C41="","",INDEX(calc_carry,36))</f>
        <v/>
      </c>
      <c r="M41" s="114">
        <f>IF($C41="","",INDEX(calc_cylr_p1,36))</f>
        <v/>
      </c>
      <c r="N41" s="118">
        <f>IF($C41="","",N(INDEX(lr_ep,36)))</f>
        <v/>
      </c>
      <c r="O41" s="119">
        <f>IF($C41="","",IF(SUM($N$6:$N$74)=0,0,N($N41)/SUM($N$6:$N$74)))</f>
        <v/>
      </c>
    </row>
    <row r="42">
      <c r="A42" s="112">
        <f>IF(INDEX(lr_key,37)="","",INDEX(lr_bu,37))</f>
        <v/>
      </c>
      <c r="B42" s="112">
        <f>IF(INDEX(lr_key,37)="","",INDEX(lr_state,37))</f>
        <v/>
      </c>
      <c r="C42" s="113">
        <f>INDEX(lr_key,37)</f>
        <v/>
      </c>
      <c r="D42" s="114">
        <f>IF($C42="","",N(INDEX(lr_lrproj,37)))</f>
        <v/>
      </c>
      <c r="E42" s="43">
        <f>IF($C42="","",INDEX(lr_basis,37)&amp;"")</f>
        <v/>
      </c>
      <c r="F42" s="114">
        <f>IF($C42="","",INDEX(calc_lrcur,37))</f>
        <v/>
      </c>
      <c r="G42" s="115">
        <f>IF($C42="","",INDEX(calc_cylr_p,37))</f>
        <v/>
      </c>
      <c r="H42" s="116">
        <f>IF($C42="","",(INDEX(calc_cylr_p,37)-INDEX(calc_lrcur,37))*100)</f>
        <v/>
      </c>
      <c r="I42" s="117">
        <f>IF($C42="","",INDEX(calc_arate_p,37))</f>
        <v/>
      </c>
      <c r="J42" s="117">
        <f>IF($C42="","",INDEX(calc_amod_p,37))</f>
        <v/>
      </c>
      <c r="K42" s="107">
        <f>IF($C42="","",INDEX(calc_echg,37))</f>
        <v/>
      </c>
      <c r="L42" s="107">
        <f>IF($C42="","",INDEX(calc_carry,37))</f>
        <v/>
      </c>
      <c r="M42" s="114">
        <f>IF($C42="","",INDEX(calc_cylr_p1,37))</f>
        <v/>
      </c>
      <c r="N42" s="118">
        <f>IF($C42="","",N(INDEX(lr_ep,37)))</f>
        <v/>
      </c>
      <c r="O42" s="119">
        <f>IF($C42="","",IF(SUM($N$6:$N$74)=0,0,N($N42)/SUM($N$6:$N$74)))</f>
        <v/>
      </c>
    </row>
    <row r="43">
      <c r="A43" s="112">
        <f>IF(INDEX(lr_key,38)="","",INDEX(lr_bu,38))</f>
        <v/>
      </c>
      <c r="B43" s="112">
        <f>IF(INDEX(lr_key,38)="","",INDEX(lr_state,38))</f>
        <v/>
      </c>
      <c r="C43" s="113">
        <f>INDEX(lr_key,38)</f>
        <v/>
      </c>
      <c r="D43" s="114">
        <f>IF($C43="","",N(INDEX(lr_lrproj,38)))</f>
        <v/>
      </c>
      <c r="E43" s="43">
        <f>IF($C43="","",INDEX(lr_basis,38)&amp;"")</f>
        <v/>
      </c>
      <c r="F43" s="114">
        <f>IF($C43="","",INDEX(calc_lrcur,38))</f>
        <v/>
      </c>
      <c r="G43" s="115">
        <f>IF($C43="","",INDEX(calc_cylr_p,38))</f>
        <v/>
      </c>
      <c r="H43" s="116">
        <f>IF($C43="","",(INDEX(calc_cylr_p,38)-INDEX(calc_lrcur,38))*100)</f>
        <v/>
      </c>
      <c r="I43" s="117">
        <f>IF($C43="","",INDEX(calc_arate_p,38))</f>
        <v/>
      </c>
      <c r="J43" s="117">
        <f>IF($C43="","",INDEX(calc_amod_p,38))</f>
        <v/>
      </c>
      <c r="K43" s="107">
        <f>IF($C43="","",INDEX(calc_echg,38))</f>
        <v/>
      </c>
      <c r="L43" s="107">
        <f>IF($C43="","",INDEX(calc_carry,38))</f>
        <v/>
      </c>
      <c r="M43" s="114">
        <f>IF($C43="","",INDEX(calc_cylr_p1,38))</f>
        <v/>
      </c>
      <c r="N43" s="118">
        <f>IF($C43="","",N(INDEX(lr_ep,38)))</f>
        <v/>
      </c>
      <c r="O43" s="119">
        <f>IF($C43="","",IF(SUM($N$6:$N$74)=0,0,N($N43)/SUM($N$6:$N$74)))</f>
        <v/>
      </c>
    </row>
    <row r="44">
      <c r="A44" s="112">
        <f>IF(INDEX(lr_key,39)="","",INDEX(lr_bu,39))</f>
        <v/>
      </c>
      <c r="B44" s="112">
        <f>IF(INDEX(lr_key,39)="","",INDEX(lr_state,39))</f>
        <v/>
      </c>
      <c r="C44" s="113">
        <f>INDEX(lr_key,39)</f>
        <v/>
      </c>
      <c r="D44" s="114">
        <f>IF($C44="","",N(INDEX(lr_lrproj,39)))</f>
        <v/>
      </c>
      <c r="E44" s="43">
        <f>IF($C44="","",INDEX(lr_basis,39)&amp;"")</f>
        <v/>
      </c>
      <c r="F44" s="114">
        <f>IF($C44="","",INDEX(calc_lrcur,39))</f>
        <v/>
      </c>
      <c r="G44" s="115">
        <f>IF($C44="","",INDEX(calc_cylr_p,39))</f>
        <v/>
      </c>
      <c r="H44" s="116">
        <f>IF($C44="","",(INDEX(calc_cylr_p,39)-INDEX(calc_lrcur,39))*100)</f>
        <v/>
      </c>
      <c r="I44" s="117">
        <f>IF($C44="","",INDEX(calc_arate_p,39))</f>
        <v/>
      </c>
      <c r="J44" s="117">
        <f>IF($C44="","",INDEX(calc_amod_p,39))</f>
        <v/>
      </c>
      <c r="K44" s="107">
        <f>IF($C44="","",INDEX(calc_echg,39))</f>
        <v/>
      </c>
      <c r="L44" s="107">
        <f>IF($C44="","",INDEX(calc_carry,39))</f>
        <v/>
      </c>
      <c r="M44" s="114">
        <f>IF($C44="","",INDEX(calc_cylr_p1,39))</f>
        <v/>
      </c>
      <c r="N44" s="118">
        <f>IF($C44="","",N(INDEX(lr_ep,39)))</f>
        <v/>
      </c>
      <c r="O44" s="119">
        <f>IF($C44="","",IF(SUM($N$6:$N$74)=0,0,N($N44)/SUM($N$6:$N$74)))</f>
        <v/>
      </c>
    </row>
    <row r="45">
      <c r="A45" s="112">
        <f>IF(INDEX(lr_key,40)="","",INDEX(lr_bu,40))</f>
        <v/>
      </c>
      <c r="B45" s="112">
        <f>IF(INDEX(lr_key,40)="","",INDEX(lr_state,40))</f>
        <v/>
      </c>
      <c r="C45" s="113">
        <f>INDEX(lr_key,40)</f>
        <v/>
      </c>
      <c r="D45" s="114">
        <f>IF($C45="","",N(INDEX(lr_lrproj,40)))</f>
        <v/>
      </c>
      <c r="E45" s="43">
        <f>IF($C45="","",INDEX(lr_basis,40)&amp;"")</f>
        <v/>
      </c>
      <c r="F45" s="114">
        <f>IF($C45="","",INDEX(calc_lrcur,40))</f>
        <v/>
      </c>
      <c r="G45" s="115">
        <f>IF($C45="","",INDEX(calc_cylr_p,40))</f>
        <v/>
      </c>
      <c r="H45" s="116">
        <f>IF($C45="","",(INDEX(calc_cylr_p,40)-INDEX(calc_lrcur,40))*100)</f>
        <v/>
      </c>
      <c r="I45" s="117">
        <f>IF($C45="","",INDEX(calc_arate_p,40))</f>
        <v/>
      </c>
      <c r="J45" s="117">
        <f>IF($C45="","",INDEX(calc_amod_p,40))</f>
        <v/>
      </c>
      <c r="K45" s="107">
        <f>IF($C45="","",INDEX(calc_echg,40))</f>
        <v/>
      </c>
      <c r="L45" s="107">
        <f>IF($C45="","",INDEX(calc_carry,40))</f>
        <v/>
      </c>
      <c r="M45" s="114">
        <f>IF($C45="","",INDEX(calc_cylr_p1,40))</f>
        <v/>
      </c>
      <c r="N45" s="118">
        <f>IF($C45="","",N(INDEX(lr_ep,40)))</f>
        <v/>
      </c>
      <c r="O45" s="119">
        <f>IF($C45="","",IF(SUM($N$6:$N$74)=0,0,N($N45)/SUM($N$6:$N$74)))</f>
        <v/>
      </c>
    </row>
    <row r="46">
      <c r="A46" s="112">
        <f>IF(INDEX(lr_key,41)="","",INDEX(lr_bu,41))</f>
        <v/>
      </c>
      <c r="B46" s="112">
        <f>IF(INDEX(lr_key,41)="","",INDEX(lr_state,41))</f>
        <v/>
      </c>
      <c r="C46" s="113">
        <f>INDEX(lr_key,41)</f>
        <v/>
      </c>
      <c r="D46" s="114">
        <f>IF($C46="","",N(INDEX(lr_lrproj,41)))</f>
        <v/>
      </c>
      <c r="E46" s="43">
        <f>IF($C46="","",INDEX(lr_basis,41)&amp;"")</f>
        <v/>
      </c>
      <c r="F46" s="114">
        <f>IF($C46="","",INDEX(calc_lrcur,41))</f>
        <v/>
      </c>
      <c r="G46" s="115">
        <f>IF($C46="","",INDEX(calc_cylr_p,41))</f>
        <v/>
      </c>
      <c r="H46" s="116">
        <f>IF($C46="","",(INDEX(calc_cylr_p,41)-INDEX(calc_lrcur,41))*100)</f>
        <v/>
      </c>
      <c r="I46" s="117">
        <f>IF($C46="","",INDEX(calc_arate_p,41))</f>
        <v/>
      </c>
      <c r="J46" s="117">
        <f>IF($C46="","",INDEX(calc_amod_p,41))</f>
        <v/>
      </c>
      <c r="K46" s="107">
        <f>IF($C46="","",INDEX(calc_echg,41))</f>
        <v/>
      </c>
      <c r="L46" s="107">
        <f>IF($C46="","",INDEX(calc_carry,41))</f>
        <v/>
      </c>
      <c r="M46" s="114">
        <f>IF($C46="","",INDEX(calc_cylr_p1,41))</f>
        <v/>
      </c>
      <c r="N46" s="118">
        <f>IF($C46="","",N(INDEX(lr_ep,41)))</f>
        <v/>
      </c>
      <c r="O46" s="119">
        <f>IF($C46="","",IF(SUM($N$6:$N$74)=0,0,N($N46)/SUM($N$6:$N$74)))</f>
        <v/>
      </c>
    </row>
    <row r="47">
      <c r="A47" s="112">
        <f>IF(INDEX(lr_key,42)="","",INDEX(lr_bu,42))</f>
        <v/>
      </c>
      <c r="B47" s="112">
        <f>IF(INDEX(lr_key,42)="","",INDEX(lr_state,42))</f>
        <v/>
      </c>
      <c r="C47" s="113">
        <f>INDEX(lr_key,42)</f>
        <v/>
      </c>
      <c r="D47" s="114">
        <f>IF($C47="","",N(INDEX(lr_lrproj,42)))</f>
        <v/>
      </c>
      <c r="E47" s="43">
        <f>IF($C47="","",INDEX(lr_basis,42)&amp;"")</f>
        <v/>
      </c>
      <c r="F47" s="114">
        <f>IF($C47="","",INDEX(calc_lrcur,42))</f>
        <v/>
      </c>
      <c r="G47" s="115">
        <f>IF($C47="","",INDEX(calc_cylr_p,42))</f>
        <v/>
      </c>
      <c r="H47" s="116">
        <f>IF($C47="","",(INDEX(calc_cylr_p,42)-INDEX(calc_lrcur,42))*100)</f>
        <v/>
      </c>
      <c r="I47" s="117">
        <f>IF($C47="","",INDEX(calc_arate_p,42))</f>
        <v/>
      </c>
      <c r="J47" s="117">
        <f>IF($C47="","",INDEX(calc_amod_p,42))</f>
        <v/>
      </c>
      <c r="K47" s="107">
        <f>IF($C47="","",INDEX(calc_echg,42))</f>
        <v/>
      </c>
      <c r="L47" s="107">
        <f>IF($C47="","",INDEX(calc_carry,42))</f>
        <v/>
      </c>
      <c r="M47" s="114">
        <f>IF($C47="","",INDEX(calc_cylr_p1,42))</f>
        <v/>
      </c>
      <c r="N47" s="118">
        <f>IF($C47="","",N(INDEX(lr_ep,42)))</f>
        <v/>
      </c>
      <c r="O47" s="119">
        <f>IF($C47="","",IF(SUM($N$6:$N$74)=0,0,N($N47)/SUM($N$6:$N$74)))</f>
        <v/>
      </c>
    </row>
    <row r="48">
      <c r="A48" s="112">
        <f>IF(INDEX(lr_key,43)="","",INDEX(lr_bu,43))</f>
        <v/>
      </c>
      <c r="B48" s="112">
        <f>IF(INDEX(lr_key,43)="","",INDEX(lr_state,43))</f>
        <v/>
      </c>
      <c r="C48" s="113">
        <f>INDEX(lr_key,43)</f>
        <v/>
      </c>
      <c r="D48" s="114">
        <f>IF($C48="","",N(INDEX(lr_lrproj,43)))</f>
        <v/>
      </c>
      <c r="E48" s="43">
        <f>IF($C48="","",INDEX(lr_basis,43)&amp;"")</f>
        <v/>
      </c>
      <c r="F48" s="114">
        <f>IF($C48="","",INDEX(calc_lrcur,43))</f>
        <v/>
      </c>
      <c r="G48" s="115">
        <f>IF($C48="","",INDEX(calc_cylr_p,43))</f>
        <v/>
      </c>
      <c r="H48" s="116">
        <f>IF($C48="","",(INDEX(calc_cylr_p,43)-INDEX(calc_lrcur,43))*100)</f>
        <v/>
      </c>
      <c r="I48" s="117">
        <f>IF($C48="","",INDEX(calc_arate_p,43))</f>
        <v/>
      </c>
      <c r="J48" s="117">
        <f>IF($C48="","",INDEX(calc_amod_p,43))</f>
        <v/>
      </c>
      <c r="K48" s="107">
        <f>IF($C48="","",INDEX(calc_echg,43))</f>
        <v/>
      </c>
      <c r="L48" s="107">
        <f>IF($C48="","",INDEX(calc_carry,43))</f>
        <v/>
      </c>
      <c r="M48" s="114">
        <f>IF($C48="","",INDEX(calc_cylr_p1,43))</f>
        <v/>
      </c>
      <c r="N48" s="118">
        <f>IF($C48="","",N(INDEX(lr_ep,43)))</f>
        <v/>
      </c>
      <c r="O48" s="119">
        <f>IF($C48="","",IF(SUM($N$6:$N$74)=0,0,N($N48)/SUM($N$6:$N$74)))</f>
        <v/>
      </c>
    </row>
    <row r="49">
      <c r="A49" s="112">
        <f>IF(INDEX(lr_key,44)="","",INDEX(lr_bu,44))</f>
        <v/>
      </c>
      <c r="B49" s="112">
        <f>IF(INDEX(lr_key,44)="","",INDEX(lr_state,44))</f>
        <v/>
      </c>
      <c r="C49" s="113">
        <f>INDEX(lr_key,44)</f>
        <v/>
      </c>
      <c r="D49" s="114">
        <f>IF($C49="","",N(INDEX(lr_lrproj,44)))</f>
        <v/>
      </c>
      <c r="E49" s="43">
        <f>IF($C49="","",INDEX(lr_basis,44)&amp;"")</f>
        <v/>
      </c>
      <c r="F49" s="114">
        <f>IF($C49="","",INDEX(calc_lrcur,44))</f>
        <v/>
      </c>
      <c r="G49" s="115">
        <f>IF($C49="","",INDEX(calc_cylr_p,44))</f>
        <v/>
      </c>
      <c r="H49" s="116">
        <f>IF($C49="","",(INDEX(calc_cylr_p,44)-INDEX(calc_lrcur,44))*100)</f>
        <v/>
      </c>
      <c r="I49" s="117">
        <f>IF($C49="","",INDEX(calc_arate_p,44))</f>
        <v/>
      </c>
      <c r="J49" s="117">
        <f>IF($C49="","",INDEX(calc_amod_p,44))</f>
        <v/>
      </c>
      <c r="K49" s="107">
        <f>IF($C49="","",INDEX(calc_echg,44))</f>
        <v/>
      </c>
      <c r="L49" s="107">
        <f>IF($C49="","",INDEX(calc_carry,44))</f>
        <v/>
      </c>
      <c r="M49" s="114">
        <f>IF($C49="","",INDEX(calc_cylr_p1,44))</f>
        <v/>
      </c>
      <c r="N49" s="118">
        <f>IF($C49="","",N(INDEX(lr_ep,44)))</f>
        <v/>
      </c>
      <c r="O49" s="119">
        <f>IF($C49="","",IF(SUM($N$6:$N$74)=0,0,N($N49)/SUM($N$6:$N$74)))</f>
        <v/>
      </c>
    </row>
    <row r="50">
      <c r="A50" s="112">
        <f>IF(INDEX(lr_key,45)="","",INDEX(lr_bu,45))</f>
        <v/>
      </c>
      <c r="B50" s="112">
        <f>IF(INDEX(lr_key,45)="","",INDEX(lr_state,45))</f>
        <v/>
      </c>
      <c r="C50" s="113">
        <f>INDEX(lr_key,45)</f>
        <v/>
      </c>
      <c r="D50" s="114">
        <f>IF($C50="","",N(INDEX(lr_lrproj,45)))</f>
        <v/>
      </c>
      <c r="E50" s="43">
        <f>IF($C50="","",INDEX(lr_basis,45)&amp;"")</f>
        <v/>
      </c>
      <c r="F50" s="114">
        <f>IF($C50="","",INDEX(calc_lrcur,45))</f>
        <v/>
      </c>
      <c r="G50" s="115">
        <f>IF($C50="","",INDEX(calc_cylr_p,45))</f>
        <v/>
      </c>
      <c r="H50" s="116">
        <f>IF($C50="","",(INDEX(calc_cylr_p,45)-INDEX(calc_lrcur,45))*100)</f>
        <v/>
      </c>
      <c r="I50" s="117">
        <f>IF($C50="","",INDEX(calc_arate_p,45))</f>
        <v/>
      </c>
      <c r="J50" s="117">
        <f>IF($C50="","",INDEX(calc_amod_p,45))</f>
        <v/>
      </c>
      <c r="K50" s="107">
        <f>IF($C50="","",INDEX(calc_echg,45))</f>
        <v/>
      </c>
      <c r="L50" s="107">
        <f>IF($C50="","",INDEX(calc_carry,45))</f>
        <v/>
      </c>
      <c r="M50" s="114">
        <f>IF($C50="","",INDEX(calc_cylr_p1,45))</f>
        <v/>
      </c>
      <c r="N50" s="118">
        <f>IF($C50="","",N(INDEX(lr_ep,45)))</f>
        <v/>
      </c>
      <c r="O50" s="119">
        <f>IF($C50="","",IF(SUM($N$6:$N$74)=0,0,N($N50)/SUM($N$6:$N$74)))</f>
        <v/>
      </c>
    </row>
    <row r="51">
      <c r="A51" s="112">
        <f>IF(INDEX(lr_key,46)="","",INDEX(lr_bu,46))</f>
        <v/>
      </c>
      <c r="B51" s="112">
        <f>IF(INDEX(lr_key,46)="","",INDEX(lr_state,46))</f>
        <v/>
      </c>
      <c r="C51" s="113">
        <f>INDEX(lr_key,46)</f>
        <v/>
      </c>
      <c r="D51" s="114">
        <f>IF($C51="","",N(INDEX(lr_lrproj,46)))</f>
        <v/>
      </c>
      <c r="E51" s="43">
        <f>IF($C51="","",INDEX(lr_basis,46)&amp;"")</f>
        <v/>
      </c>
      <c r="F51" s="114">
        <f>IF($C51="","",INDEX(calc_lrcur,46))</f>
        <v/>
      </c>
      <c r="G51" s="115">
        <f>IF($C51="","",INDEX(calc_cylr_p,46))</f>
        <v/>
      </c>
      <c r="H51" s="116">
        <f>IF($C51="","",(INDEX(calc_cylr_p,46)-INDEX(calc_lrcur,46))*100)</f>
        <v/>
      </c>
      <c r="I51" s="117">
        <f>IF($C51="","",INDEX(calc_arate_p,46))</f>
        <v/>
      </c>
      <c r="J51" s="117">
        <f>IF($C51="","",INDEX(calc_amod_p,46))</f>
        <v/>
      </c>
      <c r="K51" s="107">
        <f>IF($C51="","",INDEX(calc_echg,46))</f>
        <v/>
      </c>
      <c r="L51" s="107">
        <f>IF($C51="","",INDEX(calc_carry,46))</f>
        <v/>
      </c>
      <c r="M51" s="114">
        <f>IF($C51="","",INDEX(calc_cylr_p1,46))</f>
        <v/>
      </c>
      <c r="N51" s="118">
        <f>IF($C51="","",N(INDEX(lr_ep,46)))</f>
        <v/>
      </c>
      <c r="O51" s="119">
        <f>IF($C51="","",IF(SUM($N$6:$N$74)=0,0,N($N51)/SUM($N$6:$N$74)))</f>
        <v/>
      </c>
    </row>
    <row r="52">
      <c r="A52" s="112">
        <f>IF(INDEX(lr_key,47)="","",INDEX(lr_bu,47))</f>
        <v/>
      </c>
      <c r="B52" s="112">
        <f>IF(INDEX(lr_key,47)="","",INDEX(lr_state,47))</f>
        <v/>
      </c>
      <c r="C52" s="113">
        <f>INDEX(lr_key,47)</f>
        <v/>
      </c>
      <c r="D52" s="114">
        <f>IF($C52="","",N(INDEX(lr_lrproj,47)))</f>
        <v/>
      </c>
      <c r="E52" s="43">
        <f>IF($C52="","",INDEX(lr_basis,47)&amp;"")</f>
        <v/>
      </c>
      <c r="F52" s="114">
        <f>IF($C52="","",INDEX(calc_lrcur,47))</f>
        <v/>
      </c>
      <c r="G52" s="115">
        <f>IF($C52="","",INDEX(calc_cylr_p,47))</f>
        <v/>
      </c>
      <c r="H52" s="116">
        <f>IF($C52="","",(INDEX(calc_cylr_p,47)-INDEX(calc_lrcur,47))*100)</f>
        <v/>
      </c>
      <c r="I52" s="117">
        <f>IF($C52="","",INDEX(calc_arate_p,47))</f>
        <v/>
      </c>
      <c r="J52" s="117">
        <f>IF($C52="","",INDEX(calc_amod_p,47))</f>
        <v/>
      </c>
      <c r="K52" s="107">
        <f>IF($C52="","",INDEX(calc_echg,47))</f>
        <v/>
      </c>
      <c r="L52" s="107">
        <f>IF($C52="","",INDEX(calc_carry,47))</f>
        <v/>
      </c>
      <c r="M52" s="114">
        <f>IF($C52="","",INDEX(calc_cylr_p1,47))</f>
        <v/>
      </c>
      <c r="N52" s="118">
        <f>IF($C52="","",N(INDEX(lr_ep,47)))</f>
        <v/>
      </c>
      <c r="O52" s="119">
        <f>IF($C52="","",IF(SUM($N$6:$N$74)=0,0,N($N52)/SUM($N$6:$N$74)))</f>
        <v/>
      </c>
    </row>
    <row r="53">
      <c r="A53" s="112">
        <f>IF(INDEX(lr_key,48)="","",INDEX(lr_bu,48))</f>
        <v/>
      </c>
      <c r="B53" s="112">
        <f>IF(INDEX(lr_key,48)="","",INDEX(lr_state,48))</f>
        <v/>
      </c>
      <c r="C53" s="113">
        <f>INDEX(lr_key,48)</f>
        <v/>
      </c>
      <c r="D53" s="114">
        <f>IF($C53="","",N(INDEX(lr_lrproj,48)))</f>
        <v/>
      </c>
      <c r="E53" s="43">
        <f>IF($C53="","",INDEX(lr_basis,48)&amp;"")</f>
        <v/>
      </c>
      <c r="F53" s="114">
        <f>IF($C53="","",INDEX(calc_lrcur,48))</f>
        <v/>
      </c>
      <c r="G53" s="115">
        <f>IF($C53="","",INDEX(calc_cylr_p,48))</f>
        <v/>
      </c>
      <c r="H53" s="116">
        <f>IF($C53="","",(INDEX(calc_cylr_p,48)-INDEX(calc_lrcur,48))*100)</f>
        <v/>
      </c>
      <c r="I53" s="117">
        <f>IF($C53="","",INDEX(calc_arate_p,48))</f>
        <v/>
      </c>
      <c r="J53" s="117">
        <f>IF($C53="","",INDEX(calc_amod_p,48))</f>
        <v/>
      </c>
      <c r="K53" s="107">
        <f>IF($C53="","",INDEX(calc_echg,48))</f>
        <v/>
      </c>
      <c r="L53" s="107">
        <f>IF($C53="","",INDEX(calc_carry,48))</f>
        <v/>
      </c>
      <c r="M53" s="114">
        <f>IF($C53="","",INDEX(calc_cylr_p1,48))</f>
        <v/>
      </c>
      <c r="N53" s="118">
        <f>IF($C53="","",N(INDEX(lr_ep,48)))</f>
        <v/>
      </c>
      <c r="O53" s="119">
        <f>IF($C53="","",IF(SUM($N$6:$N$74)=0,0,N($N53)/SUM($N$6:$N$74)))</f>
        <v/>
      </c>
    </row>
    <row r="54">
      <c r="A54" s="112">
        <f>IF(INDEX(lr_key,49)="","",INDEX(lr_bu,49))</f>
        <v/>
      </c>
      <c r="B54" s="112">
        <f>IF(INDEX(lr_key,49)="","",INDEX(lr_state,49))</f>
        <v/>
      </c>
      <c r="C54" s="113">
        <f>INDEX(lr_key,49)</f>
        <v/>
      </c>
      <c r="D54" s="114">
        <f>IF($C54="","",N(INDEX(lr_lrproj,49)))</f>
        <v/>
      </c>
      <c r="E54" s="43">
        <f>IF($C54="","",INDEX(lr_basis,49)&amp;"")</f>
        <v/>
      </c>
      <c r="F54" s="114">
        <f>IF($C54="","",INDEX(calc_lrcur,49))</f>
        <v/>
      </c>
      <c r="G54" s="115">
        <f>IF($C54="","",INDEX(calc_cylr_p,49))</f>
        <v/>
      </c>
      <c r="H54" s="116">
        <f>IF($C54="","",(INDEX(calc_cylr_p,49)-INDEX(calc_lrcur,49))*100)</f>
        <v/>
      </c>
      <c r="I54" s="117">
        <f>IF($C54="","",INDEX(calc_arate_p,49))</f>
        <v/>
      </c>
      <c r="J54" s="117">
        <f>IF($C54="","",INDEX(calc_amod_p,49))</f>
        <v/>
      </c>
      <c r="K54" s="107">
        <f>IF($C54="","",INDEX(calc_echg,49))</f>
        <v/>
      </c>
      <c r="L54" s="107">
        <f>IF($C54="","",INDEX(calc_carry,49))</f>
        <v/>
      </c>
      <c r="M54" s="114">
        <f>IF($C54="","",INDEX(calc_cylr_p1,49))</f>
        <v/>
      </c>
      <c r="N54" s="118">
        <f>IF($C54="","",N(INDEX(lr_ep,49)))</f>
        <v/>
      </c>
      <c r="O54" s="119">
        <f>IF($C54="","",IF(SUM($N$6:$N$74)=0,0,N($N54)/SUM($N$6:$N$74)))</f>
        <v/>
      </c>
    </row>
    <row r="55">
      <c r="A55" s="112">
        <f>IF(INDEX(lr_key,50)="","",INDEX(lr_bu,50))</f>
        <v/>
      </c>
      <c r="B55" s="112">
        <f>IF(INDEX(lr_key,50)="","",INDEX(lr_state,50))</f>
        <v/>
      </c>
      <c r="C55" s="113">
        <f>INDEX(lr_key,50)</f>
        <v/>
      </c>
      <c r="D55" s="114">
        <f>IF($C55="","",N(INDEX(lr_lrproj,50)))</f>
        <v/>
      </c>
      <c r="E55" s="43">
        <f>IF($C55="","",INDEX(lr_basis,50)&amp;"")</f>
        <v/>
      </c>
      <c r="F55" s="114">
        <f>IF($C55="","",INDEX(calc_lrcur,50))</f>
        <v/>
      </c>
      <c r="G55" s="115">
        <f>IF($C55="","",INDEX(calc_cylr_p,50))</f>
        <v/>
      </c>
      <c r="H55" s="116">
        <f>IF($C55="","",(INDEX(calc_cylr_p,50)-INDEX(calc_lrcur,50))*100)</f>
        <v/>
      </c>
      <c r="I55" s="117">
        <f>IF($C55="","",INDEX(calc_arate_p,50))</f>
        <v/>
      </c>
      <c r="J55" s="117">
        <f>IF($C55="","",INDEX(calc_amod_p,50))</f>
        <v/>
      </c>
      <c r="K55" s="107">
        <f>IF($C55="","",INDEX(calc_echg,50))</f>
        <v/>
      </c>
      <c r="L55" s="107">
        <f>IF($C55="","",INDEX(calc_carry,50))</f>
        <v/>
      </c>
      <c r="M55" s="114">
        <f>IF($C55="","",INDEX(calc_cylr_p1,50))</f>
        <v/>
      </c>
      <c r="N55" s="118">
        <f>IF($C55="","",N(INDEX(lr_ep,50)))</f>
        <v/>
      </c>
      <c r="O55" s="119">
        <f>IF($C55="","",IF(SUM($N$6:$N$74)=0,0,N($N55)/SUM($N$6:$N$74)))</f>
        <v/>
      </c>
    </row>
    <row r="56">
      <c r="A56" s="112">
        <f>IF(INDEX(lr_key,51)="","",INDEX(lr_bu,51))</f>
        <v/>
      </c>
      <c r="B56" s="112">
        <f>IF(INDEX(lr_key,51)="","",INDEX(lr_state,51))</f>
        <v/>
      </c>
      <c r="C56" s="113">
        <f>INDEX(lr_key,51)</f>
        <v/>
      </c>
      <c r="D56" s="114">
        <f>IF($C56="","",N(INDEX(lr_lrproj,51)))</f>
        <v/>
      </c>
      <c r="E56" s="43">
        <f>IF($C56="","",INDEX(lr_basis,51)&amp;"")</f>
        <v/>
      </c>
      <c r="F56" s="114">
        <f>IF($C56="","",INDEX(calc_lrcur,51))</f>
        <v/>
      </c>
      <c r="G56" s="115">
        <f>IF($C56="","",INDEX(calc_cylr_p,51))</f>
        <v/>
      </c>
      <c r="H56" s="116">
        <f>IF($C56="","",(INDEX(calc_cylr_p,51)-INDEX(calc_lrcur,51))*100)</f>
        <v/>
      </c>
      <c r="I56" s="117">
        <f>IF($C56="","",INDEX(calc_arate_p,51))</f>
        <v/>
      </c>
      <c r="J56" s="117">
        <f>IF($C56="","",INDEX(calc_amod_p,51))</f>
        <v/>
      </c>
      <c r="K56" s="107">
        <f>IF($C56="","",INDEX(calc_echg,51))</f>
        <v/>
      </c>
      <c r="L56" s="107">
        <f>IF($C56="","",INDEX(calc_carry,51))</f>
        <v/>
      </c>
      <c r="M56" s="114">
        <f>IF($C56="","",INDEX(calc_cylr_p1,51))</f>
        <v/>
      </c>
      <c r="N56" s="118">
        <f>IF($C56="","",N(INDEX(lr_ep,51)))</f>
        <v/>
      </c>
      <c r="O56" s="119">
        <f>IF($C56="","",IF(SUM($N$6:$N$74)=0,0,N($N56)/SUM($N$6:$N$74)))</f>
        <v/>
      </c>
    </row>
    <row r="57">
      <c r="A57" s="112">
        <f>IF(INDEX(lr_key,52)="","",INDEX(lr_bu,52))</f>
        <v/>
      </c>
      <c r="B57" s="112">
        <f>IF(INDEX(lr_key,52)="","",INDEX(lr_state,52))</f>
        <v/>
      </c>
      <c r="C57" s="113">
        <f>INDEX(lr_key,52)</f>
        <v/>
      </c>
      <c r="D57" s="114">
        <f>IF($C57="","",N(INDEX(lr_lrproj,52)))</f>
        <v/>
      </c>
      <c r="E57" s="43">
        <f>IF($C57="","",INDEX(lr_basis,52)&amp;"")</f>
        <v/>
      </c>
      <c r="F57" s="114">
        <f>IF($C57="","",INDEX(calc_lrcur,52))</f>
        <v/>
      </c>
      <c r="G57" s="115">
        <f>IF($C57="","",INDEX(calc_cylr_p,52))</f>
        <v/>
      </c>
      <c r="H57" s="116">
        <f>IF($C57="","",(INDEX(calc_cylr_p,52)-INDEX(calc_lrcur,52))*100)</f>
        <v/>
      </c>
      <c r="I57" s="117">
        <f>IF($C57="","",INDEX(calc_arate_p,52))</f>
        <v/>
      </c>
      <c r="J57" s="117">
        <f>IF($C57="","",INDEX(calc_amod_p,52))</f>
        <v/>
      </c>
      <c r="K57" s="107">
        <f>IF($C57="","",INDEX(calc_echg,52))</f>
        <v/>
      </c>
      <c r="L57" s="107">
        <f>IF($C57="","",INDEX(calc_carry,52))</f>
        <v/>
      </c>
      <c r="M57" s="114">
        <f>IF($C57="","",INDEX(calc_cylr_p1,52))</f>
        <v/>
      </c>
      <c r="N57" s="118">
        <f>IF($C57="","",N(INDEX(lr_ep,52)))</f>
        <v/>
      </c>
      <c r="O57" s="119">
        <f>IF($C57="","",IF(SUM($N$6:$N$74)=0,0,N($N57)/SUM($N$6:$N$74)))</f>
        <v/>
      </c>
    </row>
    <row r="58">
      <c r="A58" s="112">
        <f>IF(INDEX(lr_key,53)="","",INDEX(lr_bu,53))</f>
        <v/>
      </c>
      <c r="B58" s="112">
        <f>IF(INDEX(lr_key,53)="","",INDEX(lr_state,53))</f>
        <v/>
      </c>
      <c r="C58" s="113">
        <f>INDEX(lr_key,53)</f>
        <v/>
      </c>
      <c r="D58" s="114">
        <f>IF($C58="","",N(INDEX(lr_lrproj,53)))</f>
        <v/>
      </c>
      <c r="E58" s="43">
        <f>IF($C58="","",INDEX(lr_basis,53)&amp;"")</f>
        <v/>
      </c>
      <c r="F58" s="114">
        <f>IF($C58="","",INDEX(calc_lrcur,53))</f>
        <v/>
      </c>
      <c r="G58" s="115">
        <f>IF($C58="","",INDEX(calc_cylr_p,53))</f>
        <v/>
      </c>
      <c r="H58" s="116">
        <f>IF($C58="","",(INDEX(calc_cylr_p,53)-INDEX(calc_lrcur,53))*100)</f>
        <v/>
      </c>
      <c r="I58" s="117">
        <f>IF($C58="","",INDEX(calc_arate_p,53))</f>
        <v/>
      </c>
      <c r="J58" s="117">
        <f>IF($C58="","",INDEX(calc_amod_p,53))</f>
        <v/>
      </c>
      <c r="K58" s="107">
        <f>IF($C58="","",INDEX(calc_echg,53))</f>
        <v/>
      </c>
      <c r="L58" s="107">
        <f>IF($C58="","",INDEX(calc_carry,53))</f>
        <v/>
      </c>
      <c r="M58" s="114">
        <f>IF($C58="","",INDEX(calc_cylr_p1,53))</f>
        <v/>
      </c>
      <c r="N58" s="118">
        <f>IF($C58="","",N(INDEX(lr_ep,53)))</f>
        <v/>
      </c>
      <c r="O58" s="119">
        <f>IF($C58="","",IF(SUM($N$6:$N$74)=0,0,N($N58)/SUM($N$6:$N$74)))</f>
        <v/>
      </c>
    </row>
    <row r="59">
      <c r="A59" s="112">
        <f>IF(INDEX(lr_key,54)="","",INDEX(lr_bu,54))</f>
        <v/>
      </c>
      <c r="B59" s="112">
        <f>IF(INDEX(lr_key,54)="","",INDEX(lr_state,54))</f>
        <v/>
      </c>
      <c r="C59" s="113">
        <f>INDEX(lr_key,54)</f>
        <v/>
      </c>
      <c r="D59" s="114">
        <f>IF($C59="","",N(INDEX(lr_lrproj,54)))</f>
        <v/>
      </c>
      <c r="E59" s="43">
        <f>IF($C59="","",INDEX(lr_basis,54)&amp;"")</f>
        <v/>
      </c>
      <c r="F59" s="114">
        <f>IF($C59="","",INDEX(calc_lrcur,54))</f>
        <v/>
      </c>
      <c r="G59" s="115">
        <f>IF($C59="","",INDEX(calc_cylr_p,54))</f>
        <v/>
      </c>
      <c r="H59" s="116">
        <f>IF($C59="","",(INDEX(calc_cylr_p,54)-INDEX(calc_lrcur,54))*100)</f>
        <v/>
      </c>
      <c r="I59" s="117">
        <f>IF($C59="","",INDEX(calc_arate_p,54))</f>
        <v/>
      </c>
      <c r="J59" s="117">
        <f>IF($C59="","",INDEX(calc_amod_p,54))</f>
        <v/>
      </c>
      <c r="K59" s="107">
        <f>IF($C59="","",INDEX(calc_echg,54))</f>
        <v/>
      </c>
      <c r="L59" s="107">
        <f>IF($C59="","",INDEX(calc_carry,54))</f>
        <v/>
      </c>
      <c r="M59" s="114">
        <f>IF($C59="","",INDEX(calc_cylr_p1,54))</f>
        <v/>
      </c>
      <c r="N59" s="118">
        <f>IF($C59="","",N(INDEX(lr_ep,54)))</f>
        <v/>
      </c>
      <c r="O59" s="119">
        <f>IF($C59="","",IF(SUM($N$6:$N$74)=0,0,N($N59)/SUM($N$6:$N$74)))</f>
        <v/>
      </c>
    </row>
    <row r="60">
      <c r="A60" s="112">
        <f>IF(INDEX(lr_key,55)="","",INDEX(lr_bu,55))</f>
        <v/>
      </c>
      <c r="B60" s="112">
        <f>IF(INDEX(lr_key,55)="","",INDEX(lr_state,55))</f>
        <v/>
      </c>
      <c r="C60" s="113">
        <f>INDEX(lr_key,55)</f>
        <v/>
      </c>
      <c r="D60" s="114">
        <f>IF($C60="","",N(INDEX(lr_lrproj,55)))</f>
        <v/>
      </c>
      <c r="E60" s="43">
        <f>IF($C60="","",INDEX(lr_basis,55)&amp;"")</f>
        <v/>
      </c>
      <c r="F60" s="114">
        <f>IF($C60="","",INDEX(calc_lrcur,55))</f>
        <v/>
      </c>
      <c r="G60" s="115">
        <f>IF($C60="","",INDEX(calc_cylr_p,55))</f>
        <v/>
      </c>
      <c r="H60" s="116">
        <f>IF($C60="","",(INDEX(calc_cylr_p,55)-INDEX(calc_lrcur,55))*100)</f>
        <v/>
      </c>
      <c r="I60" s="117">
        <f>IF($C60="","",INDEX(calc_arate_p,55))</f>
        <v/>
      </c>
      <c r="J60" s="117">
        <f>IF($C60="","",INDEX(calc_amod_p,55))</f>
        <v/>
      </c>
      <c r="K60" s="107">
        <f>IF($C60="","",INDEX(calc_echg,55))</f>
        <v/>
      </c>
      <c r="L60" s="107">
        <f>IF($C60="","",INDEX(calc_carry,55))</f>
        <v/>
      </c>
      <c r="M60" s="114">
        <f>IF($C60="","",INDEX(calc_cylr_p1,55))</f>
        <v/>
      </c>
      <c r="N60" s="118">
        <f>IF($C60="","",N(INDEX(lr_ep,55)))</f>
        <v/>
      </c>
      <c r="O60" s="119">
        <f>IF($C60="","",IF(SUM($N$6:$N$74)=0,0,N($N60)/SUM($N$6:$N$74)))</f>
        <v/>
      </c>
    </row>
    <row r="61">
      <c r="A61" s="112">
        <f>IF(INDEX(lr_key,56)="","",INDEX(lr_bu,56))</f>
        <v/>
      </c>
      <c r="B61" s="112">
        <f>IF(INDEX(lr_key,56)="","",INDEX(lr_state,56))</f>
        <v/>
      </c>
      <c r="C61" s="113">
        <f>INDEX(lr_key,56)</f>
        <v/>
      </c>
      <c r="D61" s="114">
        <f>IF($C61="","",N(INDEX(lr_lrproj,56)))</f>
        <v/>
      </c>
      <c r="E61" s="43">
        <f>IF($C61="","",INDEX(lr_basis,56)&amp;"")</f>
        <v/>
      </c>
      <c r="F61" s="114">
        <f>IF($C61="","",INDEX(calc_lrcur,56))</f>
        <v/>
      </c>
      <c r="G61" s="115">
        <f>IF($C61="","",INDEX(calc_cylr_p,56))</f>
        <v/>
      </c>
      <c r="H61" s="116">
        <f>IF($C61="","",(INDEX(calc_cylr_p,56)-INDEX(calc_lrcur,56))*100)</f>
        <v/>
      </c>
      <c r="I61" s="117">
        <f>IF($C61="","",INDEX(calc_arate_p,56))</f>
        <v/>
      </c>
      <c r="J61" s="117">
        <f>IF($C61="","",INDEX(calc_amod_p,56))</f>
        <v/>
      </c>
      <c r="K61" s="107">
        <f>IF($C61="","",INDEX(calc_echg,56))</f>
        <v/>
      </c>
      <c r="L61" s="107">
        <f>IF($C61="","",INDEX(calc_carry,56))</f>
        <v/>
      </c>
      <c r="M61" s="114">
        <f>IF($C61="","",INDEX(calc_cylr_p1,56))</f>
        <v/>
      </c>
      <c r="N61" s="118">
        <f>IF($C61="","",N(INDEX(lr_ep,56)))</f>
        <v/>
      </c>
      <c r="O61" s="119">
        <f>IF($C61="","",IF(SUM($N$6:$N$74)=0,0,N($N61)/SUM($N$6:$N$74)))</f>
        <v/>
      </c>
    </row>
    <row r="62">
      <c r="A62" s="112">
        <f>IF(INDEX(lr_key,57)="","",INDEX(lr_bu,57))</f>
        <v/>
      </c>
      <c r="B62" s="112">
        <f>IF(INDEX(lr_key,57)="","",INDEX(lr_state,57))</f>
        <v/>
      </c>
      <c r="C62" s="113">
        <f>INDEX(lr_key,57)</f>
        <v/>
      </c>
      <c r="D62" s="114">
        <f>IF($C62="","",N(INDEX(lr_lrproj,57)))</f>
        <v/>
      </c>
      <c r="E62" s="43">
        <f>IF($C62="","",INDEX(lr_basis,57)&amp;"")</f>
        <v/>
      </c>
      <c r="F62" s="114">
        <f>IF($C62="","",INDEX(calc_lrcur,57))</f>
        <v/>
      </c>
      <c r="G62" s="115">
        <f>IF($C62="","",INDEX(calc_cylr_p,57))</f>
        <v/>
      </c>
      <c r="H62" s="116">
        <f>IF($C62="","",(INDEX(calc_cylr_p,57)-INDEX(calc_lrcur,57))*100)</f>
        <v/>
      </c>
      <c r="I62" s="117">
        <f>IF($C62="","",INDEX(calc_arate_p,57))</f>
        <v/>
      </c>
      <c r="J62" s="117">
        <f>IF($C62="","",INDEX(calc_amod_p,57))</f>
        <v/>
      </c>
      <c r="K62" s="107">
        <f>IF($C62="","",INDEX(calc_echg,57))</f>
        <v/>
      </c>
      <c r="L62" s="107">
        <f>IF($C62="","",INDEX(calc_carry,57))</f>
        <v/>
      </c>
      <c r="M62" s="114">
        <f>IF($C62="","",INDEX(calc_cylr_p1,57))</f>
        <v/>
      </c>
      <c r="N62" s="118">
        <f>IF($C62="","",N(INDEX(lr_ep,57)))</f>
        <v/>
      </c>
      <c r="O62" s="119">
        <f>IF($C62="","",IF(SUM($N$6:$N$74)=0,0,N($N62)/SUM($N$6:$N$74)))</f>
        <v/>
      </c>
    </row>
    <row r="63">
      <c r="A63" s="112">
        <f>IF(INDEX(lr_key,58)="","",INDEX(lr_bu,58))</f>
        <v/>
      </c>
      <c r="B63" s="112">
        <f>IF(INDEX(lr_key,58)="","",INDEX(lr_state,58))</f>
        <v/>
      </c>
      <c r="C63" s="113">
        <f>INDEX(lr_key,58)</f>
        <v/>
      </c>
      <c r="D63" s="114">
        <f>IF($C63="","",N(INDEX(lr_lrproj,58)))</f>
        <v/>
      </c>
      <c r="E63" s="43">
        <f>IF($C63="","",INDEX(lr_basis,58)&amp;"")</f>
        <v/>
      </c>
      <c r="F63" s="114">
        <f>IF($C63="","",INDEX(calc_lrcur,58))</f>
        <v/>
      </c>
      <c r="G63" s="115">
        <f>IF($C63="","",INDEX(calc_cylr_p,58))</f>
        <v/>
      </c>
      <c r="H63" s="116">
        <f>IF($C63="","",(INDEX(calc_cylr_p,58)-INDEX(calc_lrcur,58))*100)</f>
        <v/>
      </c>
      <c r="I63" s="117">
        <f>IF($C63="","",INDEX(calc_arate_p,58))</f>
        <v/>
      </c>
      <c r="J63" s="117">
        <f>IF($C63="","",INDEX(calc_amod_p,58))</f>
        <v/>
      </c>
      <c r="K63" s="107">
        <f>IF($C63="","",INDEX(calc_echg,58))</f>
        <v/>
      </c>
      <c r="L63" s="107">
        <f>IF($C63="","",INDEX(calc_carry,58))</f>
        <v/>
      </c>
      <c r="M63" s="114">
        <f>IF($C63="","",INDEX(calc_cylr_p1,58))</f>
        <v/>
      </c>
      <c r="N63" s="118">
        <f>IF($C63="","",N(INDEX(lr_ep,58)))</f>
        <v/>
      </c>
      <c r="O63" s="119">
        <f>IF($C63="","",IF(SUM($N$6:$N$74)=0,0,N($N63)/SUM($N$6:$N$74)))</f>
        <v/>
      </c>
    </row>
    <row r="64">
      <c r="A64" s="112">
        <f>IF(INDEX(lr_key,59)="","",INDEX(lr_bu,59))</f>
        <v/>
      </c>
      <c r="B64" s="112">
        <f>IF(INDEX(lr_key,59)="","",INDEX(lr_state,59))</f>
        <v/>
      </c>
      <c r="C64" s="113">
        <f>INDEX(lr_key,59)</f>
        <v/>
      </c>
      <c r="D64" s="114">
        <f>IF($C64="","",N(INDEX(lr_lrproj,59)))</f>
        <v/>
      </c>
      <c r="E64" s="43">
        <f>IF($C64="","",INDEX(lr_basis,59)&amp;"")</f>
        <v/>
      </c>
      <c r="F64" s="114">
        <f>IF($C64="","",INDEX(calc_lrcur,59))</f>
        <v/>
      </c>
      <c r="G64" s="115">
        <f>IF($C64="","",INDEX(calc_cylr_p,59))</f>
        <v/>
      </c>
      <c r="H64" s="116">
        <f>IF($C64="","",(INDEX(calc_cylr_p,59)-INDEX(calc_lrcur,59))*100)</f>
        <v/>
      </c>
      <c r="I64" s="117">
        <f>IF($C64="","",INDEX(calc_arate_p,59))</f>
        <v/>
      </c>
      <c r="J64" s="117">
        <f>IF($C64="","",INDEX(calc_amod_p,59))</f>
        <v/>
      </c>
      <c r="K64" s="107">
        <f>IF($C64="","",INDEX(calc_echg,59))</f>
        <v/>
      </c>
      <c r="L64" s="107">
        <f>IF($C64="","",INDEX(calc_carry,59))</f>
        <v/>
      </c>
      <c r="M64" s="114">
        <f>IF($C64="","",INDEX(calc_cylr_p1,59))</f>
        <v/>
      </c>
      <c r="N64" s="118">
        <f>IF($C64="","",N(INDEX(lr_ep,59)))</f>
        <v/>
      </c>
      <c r="O64" s="119">
        <f>IF($C64="","",IF(SUM($N$6:$N$74)=0,0,N($N64)/SUM($N$6:$N$74)))</f>
        <v/>
      </c>
    </row>
    <row r="65">
      <c r="A65" s="112">
        <f>IF(INDEX(lr_key,60)="","",INDEX(lr_bu,60))</f>
        <v/>
      </c>
      <c r="B65" s="112">
        <f>IF(INDEX(lr_key,60)="","",INDEX(lr_state,60))</f>
        <v/>
      </c>
      <c r="C65" s="113">
        <f>INDEX(lr_key,60)</f>
        <v/>
      </c>
      <c r="D65" s="114">
        <f>IF($C65="","",N(INDEX(lr_lrproj,60)))</f>
        <v/>
      </c>
      <c r="E65" s="43">
        <f>IF($C65="","",INDEX(lr_basis,60)&amp;"")</f>
        <v/>
      </c>
      <c r="F65" s="114">
        <f>IF($C65="","",INDEX(calc_lrcur,60))</f>
        <v/>
      </c>
      <c r="G65" s="115">
        <f>IF($C65="","",INDEX(calc_cylr_p,60))</f>
        <v/>
      </c>
      <c r="H65" s="116">
        <f>IF($C65="","",(INDEX(calc_cylr_p,60)-INDEX(calc_lrcur,60))*100)</f>
        <v/>
      </c>
      <c r="I65" s="117">
        <f>IF($C65="","",INDEX(calc_arate_p,60))</f>
        <v/>
      </c>
      <c r="J65" s="117">
        <f>IF($C65="","",INDEX(calc_amod_p,60))</f>
        <v/>
      </c>
      <c r="K65" s="107">
        <f>IF($C65="","",INDEX(calc_echg,60))</f>
        <v/>
      </c>
      <c r="L65" s="107">
        <f>IF($C65="","",INDEX(calc_carry,60))</f>
        <v/>
      </c>
      <c r="M65" s="114">
        <f>IF($C65="","",INDEX(calc_cylr_p1,60))</f>
        <v/>
      </c>
      <c r="N65" s="118">
        <f>IF($C65="","",N(INDEX(lr_ep,60)))</f>
        <v/>
      </c>
      <c r="O65" s="119">
        <f>IF($C65="","",IF(SUM($N$6:$N$74)=0,0,N($N65)/SUM($N$6:$N$74)))</f>
        <v/>
      </c>
    </row>
    <row r="66">
      <c r="A66" s="112">
        <f>IF(INDEX(lr_key,61)="","",INDEX(lr_bu,61))</f>
        <v/>
      </c>
      <c r="B66" s="112">
        <f>IF(INDEX(lr_key,61)="","",INDEX(lr_state,61))</f>
        <v/>
      </c>
      <c r="C66" s="113">
        <f>INDEX(lr_key,61)</f>
        <v/>
      </c>
      <c r="D66" s="114">
        <f>IF($C66="","",N(INDEX(lr_lrproj,61)))</f>
        <v/>
      </c>
      <c r="E66" s="43">
        <f>IF($C66="","",INDEX(lr_basis,61)&amp;"")</f>
        <v/>
      </c>
      <c r="F66" s="114">
        <f>IF($C66="","",INDEX(calc_lrcur,61))</f>
        <v/>
      </c>
      <c r="G66" s="115">
        <f>IF($C66="","",INDEX(calc_cylr_p,61))</f>
        <v/>
      </c>
      <c r="H66" s="116">
        <f>IF($C66="","",(INDEX(calc_cylr_p,61)-INDEX(calc_lrcur,61))*100)</f>
        <v/>
      </c>
      <c r="I66" s="117">
        <f>IF($C66="","",INDEX(calc_arate_p,61))</f>
        <v/>
      </c>
      <c r="J66" s="117">
        <f>IF($C66="","",INDEX(calc_amod_p,61))</f>
        <v/>
      </c>
      <c r="K66" s="107">
        <f>IF($C66="","",INDEX(calc_echg,61))</f>
        <v/>
      </c>
      <c r="L66" s="107">
        <f>IF($C66="","",INDEX(calc_carry,61))</f>
        <v/>
      </c>
      <c r="M66" s="114">
        <f>IF($C66="","",INDEX(calc_cylr_p1,61))</f>
        <v/>
      </c>
      <c r="N66" s="118">
        <f>IF($C66="","",N(INDEX(lr_ep,61)))</f>
        <v/>
      </c>
      <c r="O66" s="119">
        <f>IF($C66="","",IF(SUM($N$6:$N$74)=0,0,N($N66)/SUM($N$6:$N$74)))</f>
        <v/>
      </c>
    </row>
    <row r="67">
      <c r="A67" s="112">
        <f>IF(INDEX(lr_key,62)="","",INDEX(lr_bu,62))</f>
        <v/>
      </c>
      <c r="B67" s="112">
        <f>IF(INDEX(lr_key,62)="","",INDEX(lr_state,62))</f>
        <v/>
      </c>
      <c r="C67" s="113">
        <f>INDEX(lr_key,62)</f>
        <v/>
      </c>
      <c r="D67" s="114">
        <f>IF($C67="","",N(INDEX(lr_lrproj,62)))</f>
        <v/>
      </c>
      <c r="E67" s="43">
        <f>IF($C67="","",INDEX(lr_basis,62)&amp;"")</f>
        <v/>
      </c>
      <c r="F67" s="114">
        <f>IF($C67="","",INDEX(calc_lrcur,62))</f>
        <v/>
      </c>
      <c r="G67" s="115">
        <f>IF($C67="","",INDEX(calc_cylr_p,62))</f>
        <v/>
      </c>
      <c r="H67" s="116">
        <f>IF($C67="","",(INDEX(calc_cylr_p,62)-INDEX(calc_lrcur,62))*100)</f>
        <v/>
      </c>
      <c r="I67" s="117">
        <f>IF($C67="","",INDEX(calc_arate_p,62))</f>
        <v/>
      </c>
      <c r="J67" s="117">
        <f>IF($C67="","",INDEX(calc_amod_p,62))</f>
        <v/>
      </c>
      <c r="K67" s="107">
        <f>IF($C67="","",INDEX(calc_echg,62))</f>
        <v/>
      </c>
      <c r="L67" s="107">
        <f>IF($C67="","",INDEX(calc_carry,62))</f>
        <v/>
      </c>
      <c r="M67" s="114">
        <f>IF($C67="","",INDEX(calc_cylr_p1,62))</f>
        <v/>
      </c>
      <c r="N67" s="118">
        <f>IF($C67="","",N(INDEX(lr_ep,62)))</f>
        <v/>
      </c>
      <c r="O67" s="119">
        <f>IF($C67="","",IF(SUM($N$6:$N$74)=0,0,N($N67)/SUM($N$6:$N$74)))</f>
        <v/>
      </c>
    </row>
    <row r="68">
      <c r="A68" s="112">
        <f>IF(INDEX(lr_key,63)="","",INDEX(lr_bu,63))</f>
        <v/>
      </c>
      <c r="B68" s="112">
        <f>IF(INDEX(lr_key,63)="","",INDEX(lr_state,63))</f>
        <v/>
      </c>
      <c r="C68" s="113">
        <f>INDEX(lr_key,63)</f>
        <v/>
      </c>
      <c r="D68" s="114">
        <f>IF($C68="","",N(INDEX(lr_lrproj,63)))</f>
        <v/>
      </c>
      <c r="E68" s="43">
        <f>IF($C68="","",INDEX(lr_basis,63)&amp;"")</f>
        <v/>
      </c>
      <c r="F68" s="114">
        <f>IF($C68="","",INDEX(calc_lrcur,63))</f>
        <v/>
      </c>
      <c r="G68" s="115">
        <f>IF($C68="","",INDEX(calc_cylr_p,63))</f>
        <v/>
      </c>
      <c r="H68" s="116">
        <f>IF($C68="","",(INDEX(calc_cylr_p,63)-INDEX(calc_lrcur,63))*100)</f>
        <v/>
      </c>
      <c r="I68" s="117">
        <f>IF($C68="","",INDEX(calc_arate_p,63))</f>
        <v/>
      </c>
      <c r="J68" s="117">
        <f>IF($C68="","",INDEX(calc_amod_p,63))</f>
        <v/>
      </c>
      <c r="K68" s="107">
        <f>IF($C68="","",INDEX(calc_echg,63))</f>
        <v/>
      </c>
      <c r="L68" s="107">
        <f>IF($C68="","",INDEX(calc_carry,63))</f>
        <v/>
      </c>
      <c r="M68" s="114">
        <f>IF($C68="","",INDEX(calc_cylr_p1,63))</f>
        <v/>
      </c>
      <c r="N68" s="118">
        <f>IF($C68="","",N(INDEX(lr_ep,63)))</f>
        <v/>
      </c>
      <c r="O68" s="119">
        <f>IF($C68="","",IF(SUM($N$6:$N$74)=0,0,N($N68)/SUM($N$6:$N$74)))</f>
        <v/>
      </c>
    </row>
    <row r="69">
      <c r="A69" s="112">
        <f>IF(INDEX(lr_key,64)="","",INDEX(lr_bu,64))</f>
        <v/>
      </c>
      <c r="B69" s="112">
        <f>IF(INDEX(lr_key,64)="","",INDEX(lr_state,64))</f>
        <v/>
      </c>
      <c r="C69" s="113">
        <f>INDEX(lr_key,64)</f>
        <v/>
      </c>
      <c r="D69" s="114">
        <f>IF($C69="","",N(INDEX(lr_lrproj,64)))</f>
        <v/>
      </c>
      <c r="E69" s="43">
        <f>IF($C69="","",INDEX(lr_basis,64)&amp;"")</f>
        <v/>
      </c>
      <c r="F69" s="114">
        <f>IF($C69="","",INDEX(calc_lrcur,64))</f>
        <v/>
      </c>
      <c r="G69" s="115">
        <f>IF($C69="","",INDEX(calc_cylr_p,64))</f>
        <v/>
      </c>
      <c r="H69" s="116">
        <f>IF($C69="","",(INDEX(calc_cylr_p,64)-INDEX(calc_lrcur,64))*100)</f>
        <v/>
      </c>
      <c r="I69" s="117">
        <f>IF($C69="","",INDEX(calc_arate_p,64))</f>
        <v/>
      </c>
      <c r="J69" s="117">
        <f>IF($C69="","",INDEX(calc_amod_p,64))</f>
        <v/>
      </c>
      <c r="K69" s="107">
        <f>IF($C69="","",INDEX(calc_echg,64))</f>
        <v/>
      </c>
      <c r="L69" s="107">
        <f>IF($C69="","",INDEX(calc_carry,64))</f>
        <v/>
      </c>
      <c r="M69" s="114">
        <f>IF($C69="","",INDEX(calc_cylr_p1,64))</f>
        <v/>
      </c>
      <c r="N69" s="118">
        <f>IF($C69="","",N(INDEX(lr_ep,64)))</f>
        <v/>
      </c>
      <c r="O69" s="119">
        <f>IF($C69="","",IF(SUM($N$6:$N$74)=0,0,N($N69)/SUM($N$6:$N$74)))</f>
        <v/>
      </c>
    </row>
    <row r="70">
      <c r="A70" s="112">
        <f>IF(INDEX(lr_key,65)="","",INDEX(lr_bu,65))</f>
        <v/>
      </c>
      <c r="B70" s="112">
        <f>IF(INDEX(lr_key,65)="","",INDEX(lr_state,65))</f>
        <v/>
      </c>
      <c r="C70" s="113">
        <f>INDEX(lr_key,65)</f>
        <v/>
      </c>
      <c r="D70" s="114">
        <f>IF($C70="","",N(INDEX(lr_lrproj,65)))</f>
        <v/>
      </c>
      <c r="E70" s="43">
        <f>IF($C70="","",INDEX(lr_basis,65)&amp;"")</f>
        <v/>
      </c>
      <c r="F70" s="114">
        <f>IF($C70="","",INDEX(calc_lrcur,65))</f>
        <v/>
      </c>
      <c r="G70" s="115">
        <f>IF($C70="","",INDEX(calc_cylr_p,65))</f>
        <v/>
      </c>
      <c r="H70" s="116">
        <f>IF($C70="","",(INDEX(calc_cylr_p,65)-INDEX(calc_lrcur,65))*100)</f>
        <v/>
      </c>
      <c r="I70" s="117">
        <f>IF($C70="","",INDEX(calc_arate_p,65))</f>
        <v/>
      </c>
      <c r="J70" s="117">
        <f>IF($C70="","",INDEX(calc_amod_p,65))</f>
        <v/>
      </c>
      <c r="K70" s="107">
        <f>IF($C70="","",INDEX(calc_echg,65))</f>
        <v/>
      </c>
      <c r="L70" s="107">
        <f>IF($C70="","",INDEX(calc_carry,65))</f>
        <v/>
      </c>
      <c r="M70" s="114">
        <f>IF($C70="","",INDEX(calc_cylr_p1,65))</f>
        <v/>
      </c>
      <c r="N70" s="118">
        <f>IF($C70="","",N(INDEX(lr_ep,65)))</f>
        <v/>
      </c>
      <c r="O70" s="119">
        <f>IF($C70="","",IF(SUM($N$6:$N$74)=0,0,N($N70)/SUM($N$6:$N$74)))</f>
        <v/>
      </c>
    </row>
    <row r="71">
      <c r="A71" s="112">
        <f>IF(INDEX(lr_key,66)="","",INDEX(lr_bu,66))</f>
        <v/>
      </c>
      <c r="B71" s="112">
        <f>IF(INDEX(lr_key,66)="","",INDEX(lr_state,66))</f>
        <v/>
      </c>
      <c r="C71" s="113">
        <f>INDEX(lr_key,66)</f>
        <v/>
      </c>
      <c r="D71" s="114">
        <f>IF($C71="","",N(INDEX(lr_lrproj,66)))</f>
        <v/>
      </c>
      <c r="E71" s="43">
        <f>IF($C71="","",INDEX(lr_basis,66)&amp;"")</f>
        <v/>
      </c>
      <c r="F71" s="114">
        <f>IF($C71="","",INDEX(calc_lrcur,66))</f>
        <v/>
      </c>
      <c r="G71" s="115">
        <f>IF($C71="","",INDEX(calc_cylr_p,66))</f>
        <v/>
      </c>
      <c r="H71" s="116">
        <f>IF($C71="","",(INDEX(calc_cylr_p,66)-INDEX(calc_lrcur,66))*100)</f>
        <v/>
      </c>
      <c r="I71" s="117">
        <f>IF($C71="","",INDEX(calc_arate_p,66))</f>
        <v/>
      </c>
      <c r="J71" s="117">
        <f>IF($C71="","",INDEX(calc_amod_p,66))</f>
        <v/>
      </c>
      <c r="K71" s="107">
        <f>IF($C71="","",INDEX(calc_echg,66))</f>
        <v/>
      </c>
      <c r="L71" s="107">
        <f>IF($C71="","",INDEX(calc_carry,66))</f>
        <v/>
      </c>
      <c r="M71" s="114">
        <f>IF($C71="","",INDEX(calc_cylr_p1,66))</f>
        <v/>
      </c>
      <c r="N71" s="118">
        <f>IF($C71="","",N(INDEX(lr_ep,66)))</f>
        <v/>
      </c>
      <c r="O71" s="119">
        <f>IF($C71="","",IF(SUM($N$6:$N$74)=0,0,N($N71)/SUM($N$6:$N$74)))</f>
        <v/>
      </c>
    </row>
    <row r="72">
      <c r="A72" s="112">
        <f>IF(INDEX(lr_key,67)="","",INDEX(lr_bu,67))</f>
        <v/>
      </c>
      <c r="B72" s="112">
        <f>IF(INDEX(lr_key,67)="","",INDEX(lr_state,67))</f>
        <v/>
      </c>
      <c r="C72" s="113">
        <f>INDEX(lr_key,67)</f>
        <v/>
      </c>
      <c r="D72" s="114">
        <f>IF($C72="","",N(INDEX(lr_lrproj,67)))</f>
        <v/>
      </c>
      <c r="E72" s="43">
        <f>IF($C72="","",INDEX(lr_basis,67)&amp;"")</f>
        <v/>
      </c>
      <c r="F72" s="114">
        <f>IF($C72="","",INDEX(calc_lrcur,67))</f>
        <v/>
      </c>
      <c r="G72" s="115">
        <f>IF($C72="","",INDEX(calc_cylr_p,67))</f>
        <v/>
      </c>
      <c r="H72" s="116">
        <f>IF($C72="","",(INDEX(calc_cylr_p,67)-INDEX(calc_lrcur,67))*100)</f>
        <v/>
      </c>
      <c r="I72" s="117">
        <f>IF($C72="","",INDEX(calc_arate_p,67))</f>
        <v/>
      </c>
      <c r="J72" s="117">
        <f>IF($C72="","",INDEX(calc_amod_p,67))</f>
        <v/>
      </c>
      <c r="K72" s="107">
        <f>IF($C72="","",INDEX(calc_echg,67))</f>
        <v/>
      </c>
      <c r="L72" s="107">
        <f>IF($C72="","",INDEX(calc_carry,67))</f>
        <v/>
      </c>
      <c r="M72" s="114">
        <f>IF($C72="","",INDEX(calc_cylr_p1,67))</f>
        <v/>
      </c>
      <c r="N72" s="118">
        <f>IF($C72="","",N(INDEX(lr_ep,67)))</f>
        <v/>
      </c>
      <c r="O72" s="119">
        <f>IF($C72="","",IF(SUM($N$6:$N$74)=0,0,N($N72)/SUM($N$6:$N$74)))</f>
        <v/>
      </c>
    </row>
    <row r="73">
      <c r="A73" s="112">
        <f>IF(INDEX(lr_key,68)="","",INDEX(lr_bu,68))</f>
        <v/>
      </c>
      <c r="B73" s="112">
        <f>IF(INDEX(lr_key,68)="","",INDEX(lr_state,68))</f>
        <v/>
      </c>
      <c r="C73" s="113">
        <f>INDEX(lr_key,68)</f>
        <v/>
      </c>
      <c r="D73" s="114">
        <f>IF($C73="","",N(INDEX(lr_lrproj,68)))</f>
        <v/>
      </c>
      <c r="E73" s="43">
        <f>IF($C73="","",INDEX(lr_basis,68)&amp;"")</f>
        <v/>
      </c>
      <c r="F73" s="114">
        <f>IF($C73="","",INDEX(calc_lrcur,68))</f>
        <v/>
      </c>
      <c r="G73" s="115">
        <f>IF($C73="","",INDEX(calc_cylr_p,68))</f>
        <v/>
      </c>
      <c r="H73" s="116">
        <f>IF($C73="","",(INDEX(calc_cylr_p,68)-INDEX(calc_lrcur,68))*100)</f>
        <v/>
      </c>
      <c r="I73" s="117">
        <f>IF($C73="","",INDEX(calc_arate_p,68))</f>
        <v/>
      </c>
      <c r="J73" s="117">
        <f>IF($C73="","",INDEX(calc_amod_p,68))</f>
        <v/>
      </c>
      <c r="K73" s="107">
        <f>IF($C73="","",INDEX(calc_echg,68))</f>
        <v/>
      </c>
      <c r="L73" s="107">
        <f>IF($C73="","",INDEX(calc_carry,68))</f>
        <v/>
      </c>
      <c r="M73" s="114">
        <f>IF($C73="","",INDEX(calc_cylr_p1,68))</f>
        <v/>
      </c>
      <c r="N73" s="118">
        <f>IF($C73="","",N(INDEX(lr_ep,68)))</f>
        <v/>
      </c>
      <c r="O73" s="119">
        <f>IF($C73="","",IF(SUM($N$6:$N$74)=0,0,N($N73)/SUM($N$6:$N$74)))</f>
        <v/>
      </c>
    </row>
    <row r="74">
      <c r="A74" s="112">
        <f>IF(INDEX(lr_key,69)="","",INDEX(lr_bu,69))</f>
        <v/>
      </c>
      <c r="B74" s="112">
        <f>IF(INDEX(lr_key,69)="","",INDEX(lr_state,69))</f>
        <v/>
      </c>
      <c r="C74" s="113">
        <f>INDEX(lr_key,69)</f>
        <v/>
      </c>
      <c r="D74" s="114">
        <f>IF($C74="","",N(INDEX(lr_lrproj,69)))</f>
        <v/>
      </c>
      <c r="E74" s="43">
        <f>IF($C74="","",INDEX(lr_basis,69)&amp;"")</f>
        <v/>
      </c>
      <c r="F74" s="114">
        <f>IF($C74="","",INDEX(calc_lrcur,69))</f>
        <v/>
      </c>
      <c r="G74" s="115">
        <f>IF($C74="","",INDEX(calc_cylr_p,69))</f>
        <v/>
      </c>
      <c r="H74" s="116">
        <f>IF($C74="","",(INDEX(calc_cylr_p,69)-INDEX(calc_lrcur,69))*100)</f>
        <v/>
      </c>
      <c r="I74" s="117">
        <f>IF($C74="","",INDEX(calc_arate_p,69))</f>
        <v/>
      </c>
      <c r="J74" s="117">
        <f>IF($C74="","",INDEX(calc_amod_p,69))</f>
        <v/>
      </c>
      <c r="K74" s="107">
        <f>IF($C74="","",INDEX(calc_echg,69))</f>
        <v/>
      </c>
      <c r="L74" s="107">
        <f>IF($C74="","",INDEX(calc_carry,69))</f>
        <v/>
      </c>
      <c r="M74" s="114">
        <f>IF($C74="","",INDEX(calc_cylr_p1,69))</f>
        <v/>
      </c>
      <c r="N74" s="118">
        <f>IF($C74="","",N(INDEX(lr_ep,69)))</f>
        <v/>
      </c>
      <c r="O74" s="119">
        <f>IF($C74="","",IF(SUM($N$6:$N$74)=0,0,N($N74)/SUM($N$6:$N$74)))</f>
        <v/>
      </c>
    </row>
    <row r="76">
      <c r="B76" s="8" t="inlineStr">
        <is>
          <t>EP-weighted total *</t>
        </is>
      </c>
      <c r="F76" s="120">
        <f>IF(SUM($N$6:$N$74)=0,"n/a",SUMPRODUCT(F$6:F$74,$N$6:$N$74)/SUM($N$6:$N$74))</f>
        <v/>
      </c>
      <c r="G76" s="105">
        <f>IF(SUM($N$6:$N$74)=0,"n/a",SUMPRODUCT(G$6:G$74,$N$6:$N$74)/SUM($N$6:$N$74))</f>
        <v/>
      </c>
      <c r="H76" s="106">
        <f>IF(ISNUMBER($G$76),($G$76-$F$76)*100,"")</f>
        <v/>
      </c>
      <c r="K76" s="121">
        <f>IF(SUM($N$6:$N$74)=0,"n/a",SUMPRODUCT(K$6:K$74,$N$6:$N$74)/SUM($N$6:$N$74))</f>
        <v/>
      </c>
      <c r="L76" s="121">
        <f>IF(SUM($N$6:$N$74)=0,"n/a",SUMPRODUCT(L$6:L$74,$N$6:$N$74)/SUM($N$6:$N$74))</f>
        <v/>
      </c>
      <c r="M76" s="120">
        <f>IF(SUM($N$6:$N$74)=0,"n/a",SUMPRODUCT(M$6:M$74,$N$6:$N$74)/SUM($N$6:$N$74))</f>
        <v/>
      </c>
      <c r="N76" s="122">
        <f>SUM($N$6:$N$74)</f>
        <v/>
      </c>
    </row>
    <row r="77">
      <c r="B77" s="18" t="inlineStr">
        <is>
          <t>Simple average</t>
        </is>
      </c>
      <c r="F77" s="102">
        <f>IF(SUMPRODUCT(($C$6:$C$74&lt;&gt;"")*1)=0,"n/a",SUM(F$6:F$74)/SUMPRODUCT(($C$6:$C$74&lt;&gt;"")*1))</f>
        <v/>
      </c>
      <c r="G77" s="102">
        <f>IF(SUMPRODUCT(($C$6:$C$74&lt;&gt;"")*1)=0,"n/a",SUM(G$6:G$74)/SUMPRODUCT(($C$6:$C$74&lt;&gt;"")*1))</f>
        <v/>
      </c>
      <c r="K77" s="123">
        <f>IF(SUMPRODUCT(($C$6:$C$74&lt;&gt;"")*1)=0,"n/a",SUM(K$6:K$74)/SUMPRODUCT(($C$6:$C$74&lt;&gt;"")*1))</f>
        <v/>
      </c>
      <c r="L77" s="123">
        <f>IF(SUMPRODUCT(($C$6:$C$74&lt;&gt;"")*1)=0,"n/a",SUM(L$6:L$74)/SUMPRODUCT(($C$6:$C$74&lt;&gt;"")*1))</f>
        <v/>
      </c>
      <c r="M77" s="102">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24" t="inlineStr">
        <is>
          <t>All</t>
        </is>
      </c>
      <c r="C4" s="125">
        <f>"Showing: "&amp;IF($B$4="All","all business units combined (adj-EP weighted)",$B$4)</f>
        <v/>
      </c>
      <c r="AA4" s="113">
        <f>IF($B$4="All","*",$B$4)</f>
        <v/>
      </c>
    </row>
    <row r="6">
      <c r="A6" s="126" t="inlineStr"/>
      <c r="B6" s="126" t="inlineStr">
        <is>
          <t>Volume</t>
        </is>
      </c>
      <c r="C6" s="127" t="inlineStr">
        <is>
          <t>Schedule mods</t>
        </is>
      </c>
      <c r="D6" s="126" t="n"/>
      <c r="E6" s="126" t="n"/>
      <c r="F6" s="127" t="inlineStr">
        <is>
          <t>Rate change history — chronological (single-BU view)</t>
        </is>
      </c>
      <c r="G6" s="126" t="n"/>
      <c r="H6" s="126" t="n"/>
      <c r="I6" s="126" t="n"/>
      <c r="J6" s="126" t="n"/>
      <c r="K6" s="126" t="n"/>
      <c r="L6" s="126" t="n"/>
      <c r="M6" s="126" t="n"/>
      <c r="N6" s="126" t="n"/>
      <c r="O6" s="127" t="inlineStr">
        <is>
          <t>Engine results</t>
        </is>
      </c>
      <c r="P6" s="126" t="n"/>
      <c r="Q6" s="126" t="n"/>
      <c r="R6" s="126" t="n"/>
      <c r="S6" s="126" t="n"/>
      <c r="T6" s="127">
        <f>"CY "&amp;nr_PlanYear&amp;" plan"</f>
        <v/>
      </c>
      <c r="U6" s="126" t="n"/>
      <c r="V6" s="127">
        <f>"CY "&amp;(nr_PlanYear+1)&amp;" indicative"</f>
        <v/>
      </c>
      <c r="W6" s="126" t="n"/>
      <c r="X6" s="126" t="n"/>
      <c r="Y6" s="126" t="n"/>
      <c r="Z6" s="127" t="inlineStr">
        <is>
          <t>Net</t>
        </is>
      </c>
    </row>
    <row r="7" ht="42" customHeight="1">
      <c r="A7" s="47" t="inlineStr">
        <is>
          <t>State</t>
        </is>
      </c>
      <c r="B7" s="47" t="inlineStr">
        <is>
          <t>Adj plan EP (000s)</t>
        </is>
      </c>
      <c r="C7" s="128" t="inlineStr">
        <is>
          <t>Mod in indication</t>
        </is>
      </c>
      <c r="D7" s="47" t="inlineStr">
        <is>
          <t>Current mod</t>
        </is>
      </c>
      <c r="E7" s="47" t="inlineStr">
        <is>
          <t>Proj. mod, plan-yr end</t>
        </is>
      </c>
      <c r="F7" s="128"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28" t="inlineStr">
        <is>
          <t>Indication rate level</t>
        </is>
      </c>
      <c r="P7" s="47">
        <f>nr_PlanYear&amp;" earned rate level"</f>
        <v/>
      </c>
      <c r="Q7" s="47" t="inlineStr">
        <is>
          <t>Rate earn-in (A_rate)</t>
        </is>
      </c>
      <c r="R7" s="47">
        <f>nr_PlanYear&amp;" earned mod"</f>
        <v/>
      </c>
      <c r="S7" s="47" t="inlineStr">
        <is>
          <t>Mod drift (A_mod)</t>
        </is>
      </c>
      <c r="T7" s="128" t="inlineStr">
        <is>
          <t>Projected LR (current level)</t>
        </is>
      </c>
      <c r="U7" s="47">
        <f>"CY "&amp;nr_PlanYear&amp;" plan LR"</f>
        <v/>
      </c>
      <c r="V7" s="128">
        <f>"Net trend ("&amp;(nr_PlanYear+1)&amp;")"</f>
        <v/>
      </c>
      <c r="W7" s="47">
        <f>(nr_PlanYear+1)&amp;" rate earn-in"</f>
        <v/>
      </c>
      <c r="X7" s="47">
        <f>(nr_PlanYear+1)&amp;" mod drift"</f>
        <v/>
      </c>
      <c r="Y7" s="47">
        <f>"CY "&amp;(nr_PlanYear+1)&amp;" plan LR"</f>
        <v/>
      </c>
      <c r="Z7" s="128" t="inlineStr">
        <is>
          <t>Net rate sel</t>
        </is>
      </c>
    </row>
    <row r="8">
      <c r="A8" s="129">
        <f>_lists!$B$3</f>
        <v/>
      </c>
      <c r="B8" s="130">
        <f>IF($AA8=0,"",SUMIFS(calc_ep,calc_state,$A8,calc_bu,$AA$4))</f>
        <v/>
      </c>
      <c r="C8" s="131">
        <f>IF($AA8=0,"",IF($B8&gt;0,SUMIFS(calc_w_mind,calc_state,$A8,calc_bu,$AA$4)/$B8,SUMIFS(lr_mind,lr_state,$A8,lr_bu,$AA$4)/$AA8))</f>
        <v/>
      </c>
      <c r="D8" s="132">
        <f>IF($AA8=0,"",IF($B8&gt;0,SUMIFS(calc_w_m0,calc_state,$A8,calc_bu,$AA$4)/$B8,SUMIFS(lr_m0,lr_state,$A8,lr_bu,$AA$4)/$AA8))</f>
        <v/>
      </c>
      <c r="E8" s="132">
        <f>IF($AA8=0,"",IF($B8&gt;0,SUMIFS(calc_w_m1,calc_state,$A8,calc_bu,$AA$4)/$B8,SUMIFS(lr_m1,lr_state,$A8,lr_bu,$AA$4)/$AA8))</f>
        <v/>
      </c>
      <c r="F8" s="133">
        <f>IF($AB8="","",IF(COUNTIFS(rl_key,$AB8,rl_seq,1)=0,"",SUMIFS(rl_eff,rl_key,$AB8,rl_seq,1)))</f>
        <v/>
      </c>
      <c r="G8" s="134">
        <f>IF($AB8="","",IF(COUNTIFS(rl_key,$AB8,rl_seq,1)=0,"",SUMIFS(rl_reff,rl_key,$AB8,rl_seq,1)))</f>
        <v/>
      </c>
      <c r="H8" s="135">
        <f>IF($AB8="","",IF(COUNTIFS(rl_key,$AB8,rl_seq,2)=0,"",SUMIFS(rl_eff,rl_key,$AB8,rl_seq,2)))</f>
        <v/>
      </c>
      <c r="I8" s="134">
        <f>IF($AB8="","",IF(COUNTIFS(rl_key,$AB8,rl_seq,2)=0,"",SUMIFS(rl_reff,rl_key,$AB8,rl_seq,2)))</f>
        <v/>
      </c>
      <c r="J8" s="135">
        <f>IF($AB8="","",IF(COUNTIFS(rl_key,$AB8,rl_seq,3)=0,"",SUMIFS(rl_eff,rl_key,$AB8,rl_seq,3)))</f>
        <v/>
      </c>
      <c r="K8" s="134">
        <f>IF($AB8="","",IF(COUNTIFS(rl_key,$AB8,rl_seq,3)=0,"",SUMIFS(rl_reff,rl_key,$AB8,rl_seq,3)))</f>
        <v/>
      </c>
      <c r="L8" s="135">
        <f>IF($AB8="","",IF(COUNTIFS(rl_key,$AB8,rl_seq,4)=0,"",SUMIFS(rl_eff,rl_key,$AB8,rl_seq,4)))</f>
        <v/>
      </c>
      <c r="M8" s="134">
        <f>IF($AB8="","",IF(COUNTIFS(rl_key,$AB8,rl_seq,4)=0,"",SUMIFS(rl_reff,rl_key,$AB8,rl_seq,4)))</f>
        <v/>
      </c>
      <c r="N8" s="136">
        <f>IF($AA8=0,"",IF($AB8="",COUNTIFS(rl_state,$A8,rl_eff,"&lt;&gt;"),COUNTIFS(rl_key,$AB8,rl_eff,"&lt;&gt;")))</f>
        <v/>
      </c>
      <c r="O8" s="137">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32">
        <f>IF($AA8=0,"",IF($B8&gt;0,SUMIFS(calc_w_mbar,calc_state,$A8,calc_bu,$AA$4)/$B8,SUMIFS(calc_mbar_p,calc_state,$A8,calc_bu,$AA$4)/$AA8))</f>
        <v/>
      </c>
      <c r="S8" s="138">
        <f>IF($AA8=0,"",IF($B8&gt;0,SUMIFS(calc_w_amod,calc_state,$A8,calc_bu,$AA$4)/$B8,SUMIFS(calc_amod_p,calc_state,$A8,calc_bu,$AA$4)/$AA8))</f>
        <v/>
      </c>
      <c r="T8" s="139">
        <f>IF($AA8=0,"",IF($B8&gt;0,SUMIFS(calc_w_lrcur,calc_state,$A8,calc_bu,$AA$4)/$B8,SUMIFS(calc_lrcur,calc_state,$A8,calc_bu,$AA$4)/$AA8))</f>
        <v/>
      </c>
      <c r="U8" s="140">
        <f>IF($AA8=0,"",IF($B8&gt;0,SUMIFS(calc_w_cylr,calc_state,$A8,calc_bu,$AA$4)/$B8,SUMIFS(calc_cylr_p,calc_state,$A8,calc_bu,$AA$4)/$AA8))</f>
        <v/>
      </c>
      <c r="V8" s="141">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40">
        <f>IF($AA8=0,"",IF($B8&gt;0,SUMIFS(calc_w_cylr1,calc_state,$A8,calc_bu,$AA$4)/$B8,SUMIFS(calc_cylr_p1,calc_state,$A8,calc_bu,$AA$4)/$AA8))</f>
        <v/>
      </c>
      <c r="Z8" s="141">
        <f>IF($AA8=0,"",IF($AC8=0,"—",SUMIFS(calc_netx,calc_state,$A8,calc_bu,$AA$4)/$AC8))</f>
        <v/>
      </c>
      <c r="AA8" s="75">
        <f>COUNTIFS(calc_state,$A8,calc_bu,$AA$4)</f>
        <v/>
      </c>
      <c r="AB8" s="113">
        <f>IF($B$4="All","",$B$4&amp;"|"&amp;$A8)</f>
        <v/>
      </c>
      <c r="AC8" s="75">
        <f>SUMIFS(calc_netmode,calc_state,$A8,calc_bu,$AA$4)</f>
        <v/>
      </c>
    </row>
    <row r="9">
      <c r="A9" s="142">
        <f>_lists!$B$4</f>
        <v/>
      </c>
      <c r="B9" s="143">
        <f>IF($AA9=0,"",SUMIFS(calc_ep,calc_state,$A9,calc_bu,$AA$4))</f>
        <v/>
      </c>
      <c r="C9" s="144">
        <f>IF($AA9=0,"",IF($B9&gt;0,SUMIFS(calc_w_mind,calc_state,$A9,calc_bu,$AA$4)/$B9,SUMIFS(lr_mind,lr_state,$A9,lr_bu,$AA$4)/$AA9))</f>
        <v/>
      </c>
      <c r="D9" s="145">
        <f>IF($AA9=0,"",IF($B9&gt;0,SUMIFS(calc_w_m0,calc_state,$A9,calc_bu,$AA$4)/$B9,SUMIFS(lr_m0,lr_state,$A9,lr_bu,$AA$4)/$AA9))</f>
        <v/>
      </c>
      <c r="E9" s="145">
        <f>IF($AA9=0,"",IF($B9&gt;0,SUMIFS(calc_w_m1,calc_state,$A9,calc_bu,$AA$4)/$B9,SUMIFS(lr_m1,lr_state,$A9,lr_bu,$AA$4)/$AA9))</f>
        <v/>
      </c>
      <c r="F9" s="146">
        <f>IF($AB9="","",IF(COUNTIFS(rl_key,$AB9,rl_seq,1)=0,"",SUMIFS(rl_eff,rl_key,$AB9,rl_seq,1)))</f>
        <v/>
      </c>
      <c r="G9" s="147">
        <f>IF($AB9="","",IF(COUNTIFS(rl_key,$AB9,rl_seq,1)=0,"",SUMIFS(rl_reff,rl_key,$AB9,rl_seq,1)))</f>
        <v/>
      </c>
      <c r="H9" s="148">
        <f>IF($AB9="","",IF(COUNTIFS(rl_key,$AB9,rl_seq,2)=0,"",SUMIFS(rl_eff,rl_key,$AB9,rl_seq,2)))</f>
        <v/>
      </c>
      <c r="I9" s="147">
        <f>IF($AB9="","",IF(COUNTIFS(rl_key,$AB9,rl_seq,2)=0,"",SUMIFS(rl_reff,rl_key,$AB9,rl_seq,2)))</f>
        <v/>
      </c>
      <c r="J9" s="148">
        <f>IF($AB9="","",IF(COUNTIFS(rl_key,$AB9,rl_seq,3)=0,"",SUMIFS(rl_eff,rl_key,$AB9,rl_seq,3)))</f>
        <v/>
      </c>
      <c r="K9" s="147">
        <f>IF($AB9="","",IF(COUNTIFS(rl_key,$AB9,rl_seq,3)=0,"",SUMIFS(rl_reff,rl_key,$AB9,rl_seq,3)))</f>
        <v/>
      </c>
      <c r="L9" s="148">
        <f>IF($AB9="","",IF(COUNTIFS(rl_key,$AB9,rl_seq,4)=0,"",SUMIFS(rl_eff,rl_key,$AB9,rl_seq,4)))</f>
        <v/>
      </c>
      <c r="M9" s="147">
        <f>IF($AB9="","",IF(COUNTIFS(rl_key,$AB9,rl_seq,4)=0,"",SUMIFS(rl_reff,rl_key,$AB9,rl_seq,4)))</f>
        <v/>
      </c>
      <c r="N9" s="149">
        <f>IF($AA9=0,"",IF($AB9="",COUNTIFS(rl_state,$A9,rl_eff,"&lt;&gt;"),COUNTIFS(rl_key,$AB9,rl_eff,"&lt;&gt;")))</f>
        <v/>
      </c>
      <c r="O9" s="150">
        <f>IF($AA9=0,"",IF($B9&gt;0,SUMIFS(calc_w_crl,calc_state,$A9,calc_bu,$AA$4)/$B9,SUMIFS(calc_crl,calc_state,$A9,calc_bu,$AA$4)/$AA9))</f>
        <v/>
      </c>
      <c r="P9" s="151">
        <f>IF($AA9=0,"",IF($B9&gt;0,SUMIFS(calc_w_ecy,calc_state,$A9,calc_bu,$AA$4)/$B9,SUMIFS(calc_ecy_p,calc_state,$A9,calc_bu,$AA$4)/$AA9))</f>
        <v/>
      </c>
      <c r="Q9" s="151">
        <f>IF($AA9=0,"",IF($B9&gt;0,SUMIFS(calc_w_arate,calc_state,$A9,calc_bu,$AA$4)/$B9,SUMIFS(calc_arate_p,calc_state,$A9,calc_bu,$AA$4)/$AA9))</f>
        <v/>
      </c>
      <c r="R9" s="145">
        <f>IF($AA9=0,"",IF($B9&gt;0,SUMIFS(calc_w_mbar,calc_state,$A9,calc_bu,$AA$4)/$B9,SUMIFS(calc_mbar_p,calc_state,$A9,calc_bu,$AA$4)/$AA9))</f>
        <v/>
      </c>
      <c r="S9" s="151">
        <f>IF($AA9=0,"",IF($B9&gt;0,SUMIFS(calc_w_amod,calc_state,$A9,calc_bu,$AA$4)/$B9,SUMIFS(calc_amod_p,calc_state,$A9,calc_bu,$AA$4)/$AA9))</f>
        <v/>
      </c>
      <c r="T9" s="152">
        <f>IF($AA9=0,"",IF($B9&gt;0,SUMIFS(calc_w_lrcur,calc_state,$A9,calc_bu,$AA$4)/$B9,SUMIFS(calc_lrcur,calc_state,$A9,calc_bu,$AA$4)/$AA9))</f>
        <v/>
      </c>
      <c r="U9" s="153">
        <f>IF($AA9=0,"",IF($B9&gt;0,SUMIFS(calc_w_cylr,calc_state,$A9,calc_bu,$AA$4)/$B9,SUMIFS(calc_cylr_p,calc_state,$A9,calc_bu,$AA$4)/$AA9))</f>
        <v/>
      </c>
      <c r="V9" s="154">
        <f>IF($AA9=0,"",IF($B9&gt;0,SUMIFS(calc_w_trend,calc_state,$A9,calc_bu,$AA$4)/$B9,SUMIFS(calc_trend,calc_state,$A9,calc_bu,$AA$4)/$AA9))</f>
        <v/>
      </c>
      <c r="W9" s="151">
        <f>IF($AA9=0,"",IF($B9&gt;0,SUMIFS(calc_w_arate1,calc_state,$A9,calc_bu,$AA$4)/$B9,SUMIFS(calc_arate_p1,calc_state,$A9,calc_bu,$AA$4)/$AA9))</f>
        <v/>
      </c>
      <c r="X9" s="151">
        <f>IF($AA9=0,"",IF($B9&gt;0,SUMIFS(calc_w_amod1,calc_state,$A9,calc_bu,$AA$4)/$B9,SUMIFS(calc_amod_p1,calc_state,$A9,calc_bu,$AA$4)/$AA9))</f>
        <v/>
      </c>
      <c r="Y9" s="153">
        <f>IF($AA9=0,"",IF($B9&gt;0,SUMIFS(calc_w_cylr1,calc_state,$A9,calc_bu,$AA$4)/$B9,SUMIFS(calc_cylr_p1,calc_state,$A9,calc_bu,$AA$4)/$AA9))</f>
        <v/>
      </c>
      <c r="Z9" s="154">
        <f>IF($AA9=0,"",IF($AC9=0,"—",SUMIFS(calc_netx,calc_state,$A9,calc_bu,$AA$4)/$AC9))</f>
        <v/>
      </c>
      <c r="AA9" s="75">
        <f>COUNTIFS(calc_state,$A9,calc_bu,$AA$4)</f>
        <v/>
      </c>
      <c r="AB9" s="113">
        <f>IF($B$4="All","",$B$4&amp;"|"&amp;$A9)</f>
        <v/>
      </c>
      <c r="AC9" s="75">
        <f>SUMIFS(calc_netmode,calc_state,$A9,calc_bu,$AA$4)</f>
        <v/>
      </c>
    </row>
    <row r="10">
      <c r="A10" s="129">
        <f>_lists!$B$5</f>
        <v/>
      </c>
      <c r="B10" s="130">
        <f>IF($AA10=0,"",SUMIFS(calc_ep,calc_state,$A10,calc_bu,$AA$4))</f>
        <v/>
      </c>
      <c r="C10" s="131">
        <f>IF($AA10=0,"",IF($B10&gt;0,SUMIFS(calc_w_mind,calc_state,$A10,calc_bu,$AA$4)/$B10,SUMIFS(lr_mind,lr_state,$A10,lr_bu,$AA$4)/$AA10))</f>
        <v/>
      </c>
      <c r="D10" s="132">
        <f>IF($AA10=0,"",IF($B10&gt;0,SUMIFS(calc_w_m0,calc_state,$A10,calc_bu,$AA$4)/$B10,SUMIFS(lr_m0,lr_state,$A10,lr_bu,$AA$4)/$AA10))</f>
        <v/>
      </c>
      <c r="E10" s="132">
        <f>IF($AA10=0,"",IF($B10&gt;0,SUMIFS(calc_w_m1,calc_state,$A10,calc_bu,$AA$4)/$B10,SUMIFS(lr_m1,lr_state,$A10,lr_bu,$AA$4)/$AA10))</f>
        <v/>
      </c>
      <c r="F10" s="133">
        <f>IF($AB10="","",IF(COUNTIFS(rl_key,$AB10,rl_seq,1)=0,"",SUMIFS(rl_eff,rl_key,$AB10,rl_seq,1)))</f>
        <v/>
      </c>
      <c r="G10" s="134">
        <f>IF($AB10="","",IF(COUNTIFS(rl_key,$AB10,rl_seq,1)=0,"",SUMIFS(rl_reff,rl_key,$AB10,rl_seq,1)))</f>
        <v/>
      </c>
      <c r="H10" s="135">
        <f>IF($AB10="","",IF(COUNTIFS(rl_key,$AB10,rl_seq,2)=0,"",SUMIFS(rl_eff,rl_key,$AB10,rl_seq,2)))</f>
        <v/>
      </c>
      <c r="I10" s="134">
        <f>IF($AB10="","",IF(COUNTIFS(rl_key,$AB10,rl_seq,2)=0,"",SUMIFS(rl_reff,rl_key,$AB10,rl_seq,2)))</f>
        <v/>
      </c>
      <c r="J10" s="135">
        <f>IF($AB10="","",IF(COUNTIFS(rl_key,$AB10,rl_seq,3)=0,"",SUMIFS(rl_eff,rl_key,$AB10,rl_seq,3)))</f>
        <v/>
      </c>
      <c r="K10" s="134">
        <f>IF($AB10="","",IF(COUNTIFS(rl_key,$AB10,rl_seq,3)=0,"",SUMIFS(rl_reff,rl_key,$AB10,rl_seq,3)))</f>
        <v/>
      </c>
      <c r="L10" s="135">
        <f>IF($AB10="","",IF(COUNTIFS(rl_key,$AB10,rl_seq,4)=0,"",SUMIFS(rl_eff,rl_key,$AB10,rl_seq,4)))</f>
        <v/>
      </c>
      <c r="M10" s="134">
        <f>IF($AB10="","",IF(COUNTIFS(rl_key,$AB10,rl_seq,4)=0,"",SUMIFS(rl_reff,rl_key,$AB10,rl_seq,4)))</f>
        <v/>
      </c>
      <c r="N10" s="136">
        <f>IF($AA10=0,"",IF($AB10="",COUNTIFS(rl_state,$A10,rl_eff,"&lt;&gt;"),COUNTIFS(rl_key,$AB10,rl_eff,"&lt;&gt;")))</f>
        <v/>
      </c>
      <c r="O10" s="137">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32">
        <f>IF($AA10=0,"",IF($B10&gt;0,SUMIFS(calc_w_mbar,calc_state,$A10,calc_bu,$AA$4)/$B10,SUMIFS(calc_mbar_p,calc_state,$A10,calc_bu,$AA$4)/$AA10))</f>
        <v/>
      </c>
      <c r="S10" s="138">
        <f>IF($AA10=0,"",IF($B10&gt;0,SUMIFS(calc_w_amod,calc_state,$A10,calc_bu,$AA$4)/$B10,SUMIFS(calc_amod_p,calc_state,$A10,calc_bu,$AA$4)/$AA10))</f>
        <v/>
      </c>
      <c r="T10" s="139">
        <f>IF($AA10=0,"",IF($B10&gt;0,SUMIFS(calc_w_lrcur,calc_state,$A10,calc_bu,$AA$4)/$B10,SUMIFS(calc_lrcur,calc_state,$A10,calc_bu,$AA$4)/$AA10))</f>
        <v/>
      </c>
      <c r="U10" s="140">
        <f>IF($AA10=0,"",IF($B10&gt;0,SUMIFS(calc_w_cylr,calc_state,$A10,calc_bu,$AA$4)/$B10,SUMIFS(calc_cylr_p,calc_state,$A10,calc_bu,$AA$4)/$AA10))</f>
        <v/>
      </c>
      <c r="V10" s="141">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40">
        <f>IF($AA10=0,"",IF($B10&gt;0,SUMIFS(calc_w_cylr1,calc_state,$A10,calc_bu,$AA$4)/$B10,SUMIFS(calc_cylr_p1,calc_state,$A10,calc_bu,$AA$4)/$AA10))</f>
        <v/>
      </c>
      <c r="Z10" s="141">
        <f>IF($AA10=0,"",IF($AC10=0,"—",SUMIFS(calc_netx,calc_state,$A10,calc_bu,$AA$4)/$AC10))</f>
        <v/>
      </c>
      <c r="AA10" s="75">
        <f>COUNTIFS(calc_state,$A10,calc_bu,$AA$4)</f>
        <v/>
      </c>
      <c r="AB10" s="113">
        <f>IF($B$4="All","",$B$4&amp;"|"&amp;$A10)</f>
        <v/>
      </c>
      <c r="AC10" s="75">
        <f>SUMIFS(calc_netmode,calc_state,$A10,calc_bu,$AA$4)</f>
        <v/>
      </c>
    </row>
    <row r="11">
      <c r="A11" s="142">
        <f>_lists!$B$6</f>
        <v/>
      </c>
      <c r="B11" s="143">
        <f>IF($AA11=0,"",SUMIFS(calc_ep,calc_state,$A11,calc_bu,$AA$4))</f>
        <v/>
      </c>
      <c r="C11" s="144">
        <f>IF($AA11=0,"",IF($B11&gt;0,SUMIFS(calc_w_mind,calc_state,$A11,calc_bu,$AA$4)/$B11,SUMIFS(lr_mind,lr_state,$A11,lr_bu,$AA$4)/$AA11))</f>
        <v/>
      </c>
      <c r="D11" s="145">
        <f>IF($AA11=0,"",IF($B11&gt;0,SUMIFS(calc_w_m0,calc_state,$A11,calc_bu,$AA$4)/$B11,SUMIFS(lr_m0,lr_state,$A11,lr_bu,$AA$4)/$AA11))</f>
        <v/>
      </c>
      <c r="E11" s="145">
        <f>IF($AA11=0,"",IF($B11&gt;0,SUMIFS(calc_w_m1,calc_state,$A11,calc_bu,$AA$4)/$B11,SUMIFS(lr_m1,lr_state,$A11,lr_bu,$AA$4)/$AA11))</f>
        <v/>
      </c>
      <c r="F11" s="146">
        <f>IF($AB11="","",IF(COUNTIFS(rl_key,$AB11,rl_seq,1)=0,"",SUMIFS(rl_eff,rl_key,$AB11,rl_seq,1)))</f>
        <v/>
      </c>
      <c r="G11" s="147">
        <f>IF($AB11="","",IF(COUNTIFS(rl_key,$AB11,rl_seq,1)=0,"",SUMIFS(rl_reff,rl_key,$AB11,rl_seq,1)))</f>
        <v/>
      </c>
      <c r="H11" s="148">
        <f>IF($AB11="","",IF(COUNTIFS(rl_key,$AB11,rl_seq,2)=0,"",SUMIFS(rl_eff,rl_key,$AB11,rl_seq,2)))</f>
        <v/>
      </c>
      <c r="I11" s="147">
        <f>IF($AB11="","",IF(COUNTIFS(rl_key,$AB11,rl_seq,2)=0,"",SUMIFS(rl_reff,rl_key,$AB11,rl_seq,2)))</f>
        <v/>
      </c>
      <c r="J11" s="148">
        <f>IF($AB11="","",IF(COUNTIFS(rl_key,$AB11,rl_seq,3)=0,"",SUMIFS(rl_eff,rl_key,$AB11,rl_seq,3)))</f>
        <v/>
      </c>
      <c r="K11" s="147">
        <f>IF($AB11="","",IF(COUNTIFS(rl_key,$AB11,rl_seq,3)=0,"",SUMIFS(rl_reff,rl_key,$AB11,rl_seq,3)))</f>
        <v/>
      </c>
      <c r="L11" s="148">
        <f>IF($AB11="","",IF(COUNTIFS(rl_key,$AB11,rl_seq,4)=0,"",SUMIFS(rl_eff,rl_key,$AB11,rl_seq,4)))</f>
        <v/>
      </c>
      <c r="M11" s="147">
        <f>IF($AB11="","",IF(COUNTIFS(rl_key,$AB11,rl_seq,4)=0,"",SUMIFS(rl_reff,rl_key,$AB11,rl_seq,4)))</f>
        <v/>
      </c>
      <c r="N11" s="149">
        <f>IF($AA11=0,"",IF($AB11="",COUNTIFS(rl_state,$A11,rl_eff,"&lt;&gt;"),COUNTIFS(rl_key,$AB11,rl_eff,"&lt;&gt;")))</f>
        <v/>
      </c>
      <c r="O11" s="150">
        <f>IF($AA11=0,"",IF($B11&gt;0,SUMIFS(calc_w_crl,calc_state,$A11,calc_bu,$AA$4)/$B11,SUMIFS(calc_crl,calc_state,$A11,calc_bu,$AA$4)/$AA11))</f>
        <v/>
      </c>
      <c r="P11" s="151">
        <f>IF($AA11=0,"",IF($B11&gt;0,SUMIFS(calc_w_ecy,calc_state,$A11,calc_bu,$AA$4)/$B11,SUMIFS(calc_ecy_p,calc_state,$A11,calc_bu,$AA$4)/$AA11))</f>
        <v/>
      </c>
      <c r="Q11" s="151">
        <f>IF($AA11=0,"",IF($B11&gt;0,SUMIFS(calc_w_arate,calc_state,$A11,calc_bu,$AA$4)/$B11,SUMIFS(calc_arate_p,calc_state,$A11,calc_bu,$AA$4)/$AA11))</f>
        <v/>
      </c>
      <c r="R11" s="145">
        <f>IF($AA11=0,"",IF($B11&gt;0,SUMIFS(calc_w_mbar,calc_state,$A11,calc_bu,$AA$4)/$B11,SUMIFS(calc_mbar_p,calc_state,$A11,calc_bu,$AA$4)/$AA11))</f>
        <v/>
      </c>
      <c r="S11" s="151">
        <f>IF($AA11=0,"",IF($B11&gt;0,SUMIFS(calc_w_amod,calc_state,$A11,calc_bu,$AA$4)/$B11,SUMIFS(calc_amod_p,calc_state,$A11,calc_bu,$AA$4)/$AA11))</f>
        <v/>
      </c>
      <c r="T11" s="152">
        <f>IF($AA11=0,"",IF($B11&gt;0,SUMIFS(calc_w_lrcur,calc_state,$A11,calc_bu,$AA$4)/$B11,SUMIFS(calc_lrcur,calc_state,$A11,calc_bu,$AA$4)/$AA11))</f>
        <v/>
      </c>
      <c r="U11" s="153">
        <f>IF($AA11=0,"",IF($B11&gt;0,SUMIFS(calc_w_cylr,calc_state,$A11,calc_bu,$AA$4)/$B11,SUMIFS(calc_cylr_p,calc_state,$A11,calc_bu,$AA$4)/$AA11))</f>
        <v/>
      </c>
      <c r="V11" s="154">
        <f>IF($AA11=0,"",IF($B11&gt;0,SUMIFS(calc_w_trend,calc_state,$A11,calc_bu,$AA$4)/$B11,SUMIFS(calc_trend,calc_state,$A11,calc_bu,$AA$4)/$AA11))</f>
        <v/>
      </c>
      <c r="W11" s="151">
        <f>IF($AA11=0,"",IF($B11&gt;0,SUMIFS(calc_w_arate1,calc_state,$A11,calc_bu,$AA$4)/$B11,SUMIFS(calc_arate_p1,calc_state,$A11,calc_bu,$AA$4)/$AA11))</f>
        <v/>
      </c>
      <c r="X11" s="151">
        <f>IF($AA11=0,"",IF($B11&gt;0,SUMIFS(calc_w_amod1,calc_state,$A11,calc_bu,$AA$4)/$B11,SUMIFS(calc_amod_p1,calc_state,$A11,calc_bu,$AA$4)/$AA11))</f>
        <v/>
      </c>
      <c r="Y11" s="153">
        <f>IF($AA11=0,"",IF($B11&gt;0,SUMIFS(calc_w_cylr1,calc_state,$A11,calc_bu,$AA$4)/$B11,SUMIFS(calc_cylr_p1,calc_state,$A11,calc_bu,$AA$4)/$AA11))</f>
        <v/>
      </c>
      <c r="Z11" s="154">
        <f>IF($AA11=0,"",IF($AC11=0,"—",SUMIFS(calc_netx,calc_state,$A11,calc_bu,$AA$4)/$AC11))</f>
        <v/>
      </c>
      <c r="AA11" s="75">
        <f>COUNTIFS(calc_state,$A11,calc_bu,$AA$4)</f>
        <v/>
      </c>
      <c r="AB11" s="113">
        <f>IF($B$4="All","",$B$4&amp;"|"&amp;$A11)</f>
        <v/>
      </c>
      <c r="AC11" s="75">
        <f>SUMIFS(calc_netmode,calc_state,$A11,calc_bu,$AA$4)</f>
        <v/>
      </c>
    </row>
    <row r="12">
      <c r="A12" s="129">
        <f>_lists!$B$7</f>
        <v/>
      </c>
      <c r="B12" s="130">
        <f>IF($AA12=0,"",SUMIFS(calc_ep,calc_state,$A12,calc_bu,$AA$4))</f>
        <v/>
      </c>
      <c r="C12" s="131">
        <f>IF($AA12=0,"",IF($B12&gt;0,SUMIFS(calc_w_mind,calc_state,$A12,calc_bu,$AA$4)/$B12,SUMIFS(lr_mind,lr_state,$A12,lr_bu,$AA$4)/$AA12))</f>
        <v/>
      </c>
      <c r="D12" s="132">
        <f>IF($AA12=0,"",IF($B12&gt;0,SUMIFS(calc_w_m0,calc_state,$A12,calc_bu,$AA$4)/$B12,SUMIFS(lr_m0,lr_state,$A12,lr_bu,$AA$4)/$AA12))</f>
        <v/>
      </c>
      <c r="E12" s="132">
        <f>IF($AA12=0,"",IF($B12&gt;0,SUMIFS(calc_w_m1,calc_state,$A12,calc_bu,$AA$4)/$B12,SUMIFS(lr_m1,lr_state,$A12,lr_bu,$AA$4)/$AA12))</f>
        <v/>
      </c>
      <c r="F12" s="133">
        <f>IF($AB12="","",IF(COUNTIFS(rl_key,$AB12,rl_seq,1)=0,"",SUMIFS(rl_eff,rl_key,$AB12,rl_seq,1)))</f>
        <v/>
      </c>
      <c r="G12" s="134">
        <f>IF($AB12="","",IF(COUNTIFS(rl_key,$AB12,rl_seq,1)=0,"",SUMIFS(rl_reff,rl_key,$AB12,rl_seq,1)))</f>
        <v/>
      </c>
      <c r="H12" s="135">
        <f>IF($AB12="","",IF(COUNTIFS(rl_key,$AB12,rl_seq,2)=0,"",SUMIFS(rl_eff,rl_key,$AB12,rl_seq,2)))</f>
        <v/>
      </c>
      <c r="I12" s="134">
        <f>IF($AB12="","",IF(COUNTIFS(rl_key,$AB12,rl_seq,2)=0,"",SUMIFS(rl_reff,rl_key,$AB12,rl_seq,2)))</f>
        <v/>
      </c>
      <c r="J12" s="135">
        <f>IF($AB12="","",IF(COUNTIFS(rl_key,$AB12,rl_seq,3)=0,"",SUMIFS(rl_eff,rl_key,$AB12,rl_seq,3)))</f>
        <v/>
      </c>
      <c r="K12" s="134">
        <f>IF($AB12="","",IF(COUNTIFS(rl_key,$AB12,rl_seq,3)=0,"",SUMIFS(rl_reff,rl_key,$AB12,rl_seq,3)))</f>
        <v/>
      </c>
      <c r="L12" s="135">
        <f>IF($AB12="","",IF(COUNTIFS(rl_key,$AB12,rl_seq,4)=0,"",SUMIFS(rl_eff,rl_key,$AB12,rl_seq,4)))</f>
        <v/>
      </c>
      <c r="M12" s="134">
        <f>IF($AB12="","",IF(COUNTIFS(rl_key,$AB12,rl_seq,4)=0,"",SUMIFS(rl_reff,rl_key,$AB12,rl_seq,4)))</f>
        <v/>
      </c>
      <c r="N12" s="136">
        <f>IF($AA12=0,"",IF($AB12="",COUNTIFS(rl_state,$A12,rl_eff,"&lt;&gt;"),COUNTIFS(rl_key,$AB12,rl_eff,"&lt;&gt;")))</f>
        <v/>
      </c>
      <c r="O12" s="137">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32">
        <f>IF($AA12=0,"",IF($B12&gt;0,SUMIFS(calc_w_mbar,calc_state,$A12,calc_bu,$AA$4)/$B12,SUMIFS(calc_mbar_p,calc_state,$A12,calc_bu,$AA$4)/$AA12))</f>
        <v/>
      </c>
      <c r="S12" s="138">
        <f>IF($AA12=0,"",IF($B12&gt;0,SUMIFS(calc_w_amod,calc_state,$A12,calc_bu,$AA$4)/$B12,SUMIFS(calc_amod_p,calc_state,$A12,calc_bu,$AA$4)/$AA12))</f>
        <v/>
      </c>
      <c r="T12" s="139">
        <f>IF($AA12=0,"",IF($B12&gt;0,SUMIFS(calc_w_lrcur,calc_state,$A12,calc_bu,$AA$4)/$B12,SUMIFS(calc_lrcur,calc_state,$A12,calc_bu,$AA$4)/$AA12))</f>
        <v/>
      </c>
      <c r="U12" s="140">
        <f>IF($AA12=0,"",IF($B12&gt;0,SUMIFS(calc_w_cylr,calc_state,$A12,calc_bu,$AA$4)/$B12,SUMIFS(calc_cylr_p,calc_state,$A12,calc_bu,$AA$4)/$AA12))</f>
        <v/>
      </c>
      <c r="V12" s="141">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40">
        <f>IF($AA12=0,"",IF($B12&gt;0,SUMIFS(calc_w_cylr1,calc_state,$A12,calc_bu,$AA$4)/$B12,SUMIFS(calc_cylr_p1,calc_state,$A12,calc_bu,$AA$4)/$AA12))</f>
        <v/>
      </c>
      <c r="Z12" s="141">
        <f>IF($AA12=0,"",IF($AC12=0,"—",SUMIFS(calc_netx,calc_state,$A12,calc_bu,$AA$4)/$AC12))</f>
        <v/>
      </c>
      <c r="AA12" s="75">
        <f>COUNTIFS(calc_state,$A12,calc_bu,$AA$4)</f>
        <v/>
      </c>
      <c r="AB12" s="113">
        <f>IF($B$4="All","",$B$4&amp;"|"&amp;$A12)</f>
        <v/>
      </c>
      <c r="AC12" s="75">
        <f>SUMIFS(calc_netmode,calc_state,$A12,calc_bu,$AA$4)</f>
        <v/>
      </c>
    </row>
    <row r="13">
      <c r="A13" s="142">
        <f>_lists!$B$8</f>
        <v/>
      </c>
      <c r="B13" s="143">
        <f>IF($AA13=0,"",SUMIFS(calc_ep,calc_state,$A13,calc_bu,$AA$4))</f>
        <v/>
      </c>
      <c r="C13" s="144">
        <f>IF($AA13=0,"",IF($B13&gt;0,SUMIFS(calc_w_mind,calc_state,$A13,calc_bu,$AA$4)/$B13,SUMIFS(lr_mind,lr_state,$A13,lr_bu,$AA$4)/$AA13))</f>
        <v/>
      </c>
      <c r="D13" s="145">
        <f>IF($AA13=0,"",IF($B13&gt;0,SUMIFS(calc_w_m0,calc_state,$A13,calc_bu,$AA$4)/$B13,SUMIFS(lr_m0,lr_state,$A13,lr_bu,$AA$4)/$AA13))</f>
        <v/>
      </c>
      <c r="E13" s="145">
        <f>IF($AA13=0,"",IF($B13&gt;0,SUMIFS(calc_w_m1,calc_state,$A13,calc_bu,$AA$4)/$B13,SUMIFS(lr_m1,lr_state,$A13,lr_bu,$AA$4)/$AA13))</f>
        <v/>
      </c>
      <c r="F13" s="146">
        <f>IF($AB13="","",IF(COUNTIFS(rl_key,$AB13,rl_seq,1)=0,"",SUMIFS(rl_eff,rl_key,$AB13,rl_seq,1)))</f>
        <v/>
      </c>
      <c r="G13" s="147">
        <f>IF($AB13="","",IF(COUNTIFS(rl_key,$AB13,rl_seq,1)=0,"",SUMIFS(rl_reff,rl_key,$AB13,rl_seq,1)))</f>
        <v/>
      </c>
      <c r="H13" s="148">
        <f>IF($AB13="","",IF(COUNTIFS(rl_key,$AB13,rl_seq,2)=0,"",SUMIFS(rl_eff,rl_key,$AB13,rl_seq,2)))</f>
        <v/>
      </c>
      <c r="I13" s="147">
        <f>IF($AB13="","",IF(COUNTIFS(rl_key,$AB13,rl_seq,2)=0,"",SUMIFS(rl_reff,rl_key,$AB13,rl_seq,2)))</f>
        <v/>
      </c>
      <c r="J13" s="148">
        <f>IF($AB13="","",IF(COUNTIFS(rl_key,$AB13,rl_seq,3)=0,"",SUMIFS(rl_eff,rl_key,$AB13,rl_seq,3)))</f>
        <v/>
      </c>
      <c r="K13" s="147">
        <f>IF($AB13="","",IF(COUNTIFS(rl_key,$AB13,rl_seq,3)=0,"",SUMIFS(rl_reff,rl_key,$AB13,rl_seq,3)))</f>
        <v/>
      </c>
      <c r="L13" s="148">
        <f>IF($AB13="","",IF(COUNTIFS(rl_key,$AB13,rl_seq,4)=0,"",SUMIFS(rl_eff,rl_key,$AB13,rl_seq,4)))</f>
        <v/>
      </c>
      <c r="M13" s="147">
        <f>IF($AB13="","",IF(COUNTIFS(rl_key,$AB13,rl_seq,4)=0,"",SUMIFS(rl_reff,rl_key,$AB13,rl_seq,4)))</f>
        <v/>
      </c>
      <c r="N13" s="149">
        <f>IF($AA13=0,"",IF($AB13="",COUNTIFS(rl_state,$A13,rl_eff,"&lt;&gt;"),COUNTIFS(rl_key,$AB13,rl_eff,"&lt;&gt;")))</f>
        <v/>
      </c>
      <c r="O13" s="150">
        <f>IF($AA13=0,"",IF($B13&gt;0,SUMIFS(calc_w_crl,calc_state,$A13,calc_bu,$AA$4)/$B13,SUMIFS(calc_crl,calc_state,$A13,calc_bu,$AA$4)/$AA13))</f>
        <v/>
      </c>
      <c r="P13" s="151">
        <f>IF($AA13=0,"",IF($B13&gt;0,SUMIFS(calc_w_ecy,calc_state,$A13,calc_bu,$AA$4)/$B13,SUMIFS(calc_ecy_p,calc_state,$A13,calc_bu,$AA$4)/$AA13))</f>
        <v/>
      </c>
      <c r="Q13" s="151">
        <f>IF($AA13=0,"",IF($B13&gt;0,SUMIFS(calc_w_arate,calc_state,$A13,calc_bu,$AA$4)/$B13,SUMIFS(calc_arate_p,calc_state,$A13,calc_bu,$AA$4)/$AA13))</f>
        <v/>
      </c>
      <c r="R13" s="145">
        <f>IF($AA13=0,"",IF($B13&gt;0,SUMIFS(calc_w_mbar,calc_state,$A13,calc_bu,$AA$4)/$B13,SUMIFS(calc_mbar_p,calc_state,$A13,calc_bu,$AA$4)/$AA13))</f>
        <v/>
      </c>
      <c r="S13" s="151">
        <f>IF($AA13=0,"",IF($B13&gt;0,SUMIFS(calc_w_amod,calc_state,$A13,calc_bu,$AA$4)/$B13,SUMIFS(calc_amod_p,calc_state,$A13,calc_bu,$AA$4)/$AA13))</f>
        <v/>
      </c>
      <c r="T13" s="152">
        <f>IF($AA13=0,"",IF($B13&gt;0,SUMIFS(calc_w_lrcur,calc_state,$A13,calc_bu,$AA$4)/$B13,SUMIFS(calc_lrcur,calc_state,$A13,calc_bu,$AA$4)/$AA13))</f>
        <v/>
      </c>
      <c r="U13" s="153">
        <f>IF($AA13=0,"",IF($B13&gt;0,SUMIFS(calc_w_cylr,calc_state,$A13,calc_bu,$AA$4)/$B13,SUMIFS(calc_cylr_p,calc_state,$A13,calc_bu,$AA$4)/$AA13))</f>
        <v/>
      </c>
      <c r="V13" s="154">
        <f>IF($AA13=0,"",IF($B13&gt;0,SUMIFS(calc_w_trend,calc_state,$A13,calc_bu,$AA$4)/$B13,SUMIFS(calc_trend,calc_state,$A13,calc_bu,$AA$4)/$AA13))</f>
        <v/>
      </c>
      <c r="W13" s="151">
        <f>IF($AA13=0,"",IF($B13&gt;0,SUMIFS(calc_w_arate1,calc_state,$A13,calc_bu,$AA$4)/$B13,SUMIFS(calc_arate_p1,calc_state,$A13,calc_bu,$AA$4)/$AA13))</f>
        <v/>
      </c>
      <c r="X13" s="151">
        <f>IF($AA13=0,"",IF($B13&gt;0,SUMIFS(calc_w_amod1,calc_state,$A13,calc_bu,$AA$4)/$B13,SUMIFS(calc_amod_p1,calc_state,$A13,calc_bu,$AA$4)/$AA13))</f>
        <v/>
      </c>
      <c r="Y13" s="153">
        <f>IF($AA13=0,"",IF($B13&gt;0,SUMIFS(calc_w_cylr1,calc_state,$A13,calc_bu,$AA$4)/$B13,SUMIFS(calc_cylr_p1,calc_state,$A13,calc_bu,$AA$4)/$AA13))</f>
        <v/>
      </c>
      <c r="Z13" s="154">
        <f>IF($AA13=0,"",IF($AC13=0,"—",SUMIFS(calc_netx,calc_state,$A13,calc_bu,$AA$4)/$AC13))</f>
        <v/>
      </c>
      <c r="AA13" s="75">
        <f>COUNTIFS(calc_state,$A13,calc_bu,$AA$4)</f>
        <v/>
      </c>
      <c r="AB13" s="113">
        <f>IF($B$4="All","",$B$4&amp;"|"&amp;$A13)</f>
        <v/>
      </c>
      <c r="AC13" s="75">
        <f>SUMIFS(calc_netmode,calc_state,$A13,calc_bu,$AA$4)</f>
        <v/>
      </c>
    </row>
    <row r="14">
      <c r="A14" s="129">
        <f>_lists!$B$9</f>
        <v/>
      </c>
      <c r="B14" s="130">
        <f>IF($AA14=0,"",SUMIFS(calc_ep,calc_state,$A14,calc_bu,$AA$4))</f>
        <v/>
      </c>
      <c r="C14" s="131">
        <f>IF($AA14=0,"",IF($B14&gt;0,SUMIFS(calc_w_mind,calc_state,$A14,calc_bu,$AA$4)/$B14,SUMIFS(lr_mind,lr_state,$A14,lr_bu,$AA$4)/$AA14))</f>
        <v/>
      </c>
      <c r="D14" s="132">
        <f>IF($AA14=0,"",IF($B14&gt;0,SUMIFS(calc_w_m0,calc_state,$A14,calc_bu,$AA$4)/$B14,SUMIFS(lr_m0,lr_state,$A14,lr_bu,$AA$4)/$AA14))</f>
        <v/>
      </c>
      <c r="E14" s="132">
        <f>IF($AA14=0,"",IF($B14&gt;0,SUMIFS(calc_w_m1,calc_state,$A14,calc_bu,$AA$4)/$B14,SUMIFS(lr_m1,lr_state,$A14,lr_bu,$AA$4)/$AA14))</f>
        <v/>
      </c>
      <c r="F14" s="133">
        <f>IF($AB14="","",IF(COUNTIFS(rl_key,$AB14,rl_seq,1)=0,"",SUMIFS(rl_eff,rl_key,$AB14,rl_seq,1)))</f>
        <v/>
      </c>
      <c r="G14" s="134">
        <f>IF($AB14="","",IF(COUNTIFS(rl_key,$AB14,rl_seq,1)=0,"",SUMIFS(rl_reff,rl_key,$AB14,rl_seq,1)))</f>
        <v/>
      </c>
      <c r="H14" s="135">
        <f>IF($AB14="","",IF(COUNTIFS(rl_key,$AB14,rl_seq,2)=0,"",SUMIFS(rl_eff,rl_key,$AB14,rl_seq,2)))</f>
        <v/>
      </c>
      <c r="I14" s="134">
        <f>IF($AB14="","",IF(COUNTIFS(rl_key,$AB14,rl_seq,2)=0,"",SUMIFS(rl_reff,rl_key,$AB14,rl_seq,2)))</f>
        <v/>
      </c>
      <c r="J14" s="135">
        <f>IF($AB14="","",IF(COUNTIFS(rl_key,$AB14,rl_seq,3)=0,"",SUMIFS(rl_eff,rl_key,$AB14,rl_seq,3)))</f>
        <v/>
      </c>
      <c r="K14" s="134">
        <f>IF($AB14="","",IF(COUNTIFS(rl_key,$AB14,rl_seq,3)=0,"",SUMIFS(rl_reff,rl_key,$AB14,rl_seq,3)))</f>
        <v/>
      </c>
      <c r="L14" s="135">
        <f>IF($AB14="","",IF(COUNTIFS(rl_key,$AB14,rl_seq,4)=0,"",SUMIFS(rl_eff,rl_key,$AB14,rl_seq,4)))</f>
        <v/>
      </c>
      <c r="M14" s="134">
        <f>IF($AB14="","",IF(COUNTIFS(rl_key,$AB14,rl_seq,4)=0,"",SUMIFS(rl_reff,rl_key,$AB14,rl_seq,4)))</f>
        <v/>
      </c>
      <c r="N14" s="136">
        <f>IF($AA14=0,"",IF($AB14="",COUNTIFS(rl_state,$A14,rl_eff,"&lt;&gt;"),COUNTIFS(rl_key,$AB14,rl_eff,"&lt;&gt;")))</f>
        <v/>
      </c>
      <c r="O14" s="137">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32">
        <f>IF($AA14=0,"",IF($B14&gt;0,SUMIFS(calc_w_mbar,calc_state,$A14,calc_bu,$AA$4)/$B14,SUMIFS(calc_mbar_p,calc_state,$A14,calc_bu,$AA$4)/$AA14))</f>
        <v/>
      </c>
      <c r="S14" s="138">
        <f>IF($AA14=0,"",IF($B14&gt;0,SUMIFS(calc_w_amod,calc_state,$A14,calc_bu,$AA$4)/$B14,SUMIFS(calc_amod_p,calc_state,$A14,calc_bu,$AA$4)/$AA14))</f>
        <v/>
      </c>
      <c r="T14" s="139">
        <f>IF($AA14=0,"",IF($B14&gt;0,SUMIFS(calc_w_lrcur,calc_state,$A14,calc_bu,$AA$4)/$B14,SUMIFS(calc_lrcur,calc_state,$A14,calc_bu,$AA$4)/$AA14))</f>
        <v/>
      </c>
      <c r="U14" s="140">
        <f>IF($AA14=0,"",IF($B14&gt;0,SUMIFS(calc_w_cylr,calc_state,$A14,calc_bu,$AA$4)/$B14,SUMIFS(calc_cylr_p,calc_state,$A14,calc_bu,$AA$4)/$AA14))</f>
        <v/>
      </c>
      <c r="V14" s="141">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40">
        <f>IF($AA14=0,"",IF($B14&gt;0,SUMIFS(calc_w_cylr1,calc_state,$A14,calc_bu,$AA$4)/$B14,SUMIFS(calc_cylr_p1,calc_state,$A14,calc_bu,$AA$4)/$AA14))</f>
        <v/>
      </c>
      <c r="Z14" s="141">
        <f>IF($AA14=0,"",IF($AC14=0,"—",SUMIFS(calc_netx,calc_state,$A14,calc_bu,$AA$4)/$AC14))</f>
        <v/>
      </c>
      <c r="AA14" s="75">
        <f>COUNTIFS(calc_state,$A14,calc_bu,$AA$4)</f>
        <v/>
      </c>
      <c r="AB14" s="113">
        <f>IF($B$4="All","",$B$4&amp;"|"&amp;$A14)</f>
        <v/>
      </c>
      <c r="AC14" s="75">
        <f>SUMIFS(calc_netmode,calc_state,$A14,calc_bu,$AA$4)</f>
        <v/>
      </c>
    </row>
    <row r="15">
      <c r="A15" s="142">
        <f>_lists!$B$10</f>
        <v/>
      </c>
      <c r="B15" s="143">
        <f>IF($AA15=0,"",SUMIFS(calc_ep,calc_state,$A15,calc_bu,$AA$4))</f>
        <v/>
      </c>
      <c r="C15" s="144">
        <f>IF($AA15=0,"",IF($B15&gt;0,SUMIFS(calc_w_mind,calc_state,$A15,calc_bu,$AA$4)/$B15,SUMIFS(lr_mind,lr_state,$A15,lr_bu,$AA$4)/$AA15))</f>
        <v/>
      </c>
      <c r="D15" s="145">
        <f>IF($AA15=0,"",IF($B15&gt;0,SUMIFS(calc_w_m0,calc_state,$A15,calc_bu,$AA$4)/$B15,SUMIFS(lr_m0,lr_state,$A15,lr_bu,$AA$4)/$AA15))</f>
        <v/>
      </c>
      <c r="E15" s="145">
        <f>IF($AA15=0,"",IF($B15&gt;0,SUMIFS(calc_w_m1,calc_state,$A15,calc_bu,$AA$4)/$B15,SUMIFS(lr_m1,lr_state,$A15,lr_bu,$AA$4)/$AA15))</f>
        <v/>
      </c>
      <c r="F15" s="146">
        <f>IF($AB15="","",IF(COUNTIFS(rl_key,$AB15,rl_seq,1)=0,"",SUMIFS(rl_eff,rl_key,$AB15,rl_seq,1)))</f>
        <v/>
      </c>
      <c r="G15" s="147">
        <f>IF($AB15="","",IF(COUNTIFS(rl_key,$AB15,rl_seq,1)=0,"",SUMIFS(rl_reff,rl_key,$AB15,rl_seq,1)))</f>
        <v/>
      </c>
      <c r="H15" s="148">
        <f>IF($AB15="","",IF(COUNTIFS(rl_key,$AB15,rl_seq,2)=0,"",SUMIFS(rl_eff,rl_key,$AB15,rl_seq,2)))</f>
        <v/>
      </c>
      <c r="I15" s="147">
        <f>IF($AB15="","",IF(COUNTIFS(rl_key,$AB15,rl_seq,2)=0,"",SUMIFS(rl_reff,rl_key,$AB15,rl_seq,2)))</f>
        <v/>
      </c>
      <c r="J15" s="148">
        <f>IF($AB15="","",IF(COUNTIFS(rl_key,$AB15,rl_seq,3)=0,"",SUMIFS(rl_eff,rl_key,$AB15,rl_seq,3)))</f>
        <v/>
      </c>
      <c r="K15" s="147">
        <f>IF($AB15="","",IF(COUNTIFS(rl_key,$AB15,rl_seq,3)=0,"",SUMIFS(rl_reff,rl_key,$AB15,rl_seq,3)))</f>
        <v/>
      </c>
      <c r="L15" s="148">
        <f>IF($AB15="","",IF(COUNTIFS(rl_key,$AB15,rl_seq,4)=0,"",SUMIFS(rl_eff,rl_key,$AB15,rl_seq,4)))</f>
        <v/>
      </c>
      <c r="M15" s="147">
        <f>IF($AB15="","",IF(COUNTIFS(rl_key,$AB15,rl_seq,4)=0,"",SUMIFS(rl_reff,rl_key,$AB15,rl_seq,4)))</f>
        <v/>
      </c>
      <c r="N15" s="149">
        <f>IF($AA15=0,"",IF($AB15="",COUNTIFS(rl_state,$A15,rl_eff,"&lt;&gt;"),COUNTIFS(rl_key,$AB15,rl_eff,"&lt;&gt;")))</f>
        <v/>
      </c>
      <c r="O15" s="150">
        <f>IF($AA15=0,"",IF($B15&gt;0,SUMIFS(calc_w_crl,calc_state,$A15,calc_bu,$AA$4)/$B15,SUMIFS(calc_crl,calc_state,$A15,calc_bu,$AA$4)/$AA15))</f>
        <v/>
      </c>
      <c r="P15" s="151">
        <f>IF($AA15=0,"",IF($B15&gt;0,SUMIFS(calc_w_ecy,calc_state,$A15,calc_bu,$AA$4)/$B15,SUMIFS(calc_ecy_p,calc_state,$A15,calc_bu,$AA$4)/$AA15))</f>
        <v/>
      </c>
      <c r="Q15" s="151">
        <f>IF($AA15=0,"",IF($B15&gt;0,SUMIFS(calc_w_arate,calc_state,$A15,calc_bu,$AA$4)/$B15,SUMIFS(calc_arate_p,calc_state,$A15,calc_bu,$AA$4)/$AA15))</f>
        <v/>
      </c>
      <c r="R15" s="145">
        <f>IF($AA15=0,"",IF($B15&gt;0,SUMIFS(calc_w_mbar,calc_state,$A15,calc_bu,$AA$4)/$B15,SUMIFS(calc_mbar_p,calc_state,$A15,calc_bu,$AA$4)/$AA15))</f>
        <v/>
      </c>
      <c r="S15" s="151">
        <f>IF($AA15=0,"",IF($B15&gt;0,SUMIFS(calc_w_amod,calc_state,$A15,calc_bu,$AA$4)/$B15,SUMIFS(calc_amod_p,calc_state,$A15,calc_bu,$AA$4)/$AA15))</f>
        <v/>
      </c>
      <c r="T15" s="152">
        <f>IF($AA15=0,"",IF($B15&gt;0,SUMIFS(calc_w_lrcur,calc_state,$A15,calc_bu,$AA$4)/$B15,SUMIFS(calc_lrcur,calc_state,$A15,calc_bu,$AA$4)/$AA15))</f>
        <v/>
      </c>
      <c r="U15" s="153">
        <f>IF($AA15=0,"",IF($B15&gt;0,SUMIFS(calc_w_cylr,calc_state,$A15,calc_bu,$AA$4)/$B15,SUMIFS(calc_cylr_p,calc_state,$A15,calc_bu,$AA$4)/$AA15))</f>
        <v/>
      </c>
      <c r="V15" s="154">
        <f>IF($AA15=0,"",IF($B15&gt;0,SUMIFS(calc_w_trend,calc_state,$A15,calc_bu,$AA$4)/$B15,SUMIFS(calc_trend,calc_state,$A15,calc_bu,$AA$4)/$AA15))</f>
        <v/>
      </c>
      <c r="W15" s="151">
        <f>IF($AA15=0,"",IF($B15&gt;0,SUMIFS(calc_w_arate1,calc_state,$A15,calc_bu,$AA$4)/$B15,SUMIFS(calc_arate_p1,calc_state,$A15,calc_bu,$AA$4)/$AA15))</f>
        <v/>
      </c>
      <c r="X15" s="151">
        <f>IF($AA15=0,"",IF($B15&gt;0,SUMIFS(calc_w_amod1,calc_state,$A15,calc_bu,$AA$4)/$B15,SUMIFS(calc_amod_p1,calc_state,$A15,calc_bu,$AA$4)/$AA15))</f>
        <v/>
      </c>
      <c r="Y15" s="153">
        <f>IF($AA15=0,"",IF($B15&gt;0,SUMIFS(calc_w_cylr1,calc_state,$A15,calc_bu,$AA$4)/$B15,SUMIFS(calc_cylr_p1,calc_state,$A15,calc_bu,$AA$4)/$AA15))</f>
        <v/>
      </c>
      <c r="Z15" s="154">
        <f>IF($AA15=0,"",IF($AC15=0,"—",SUMIFS(calc_netx,calc_state,$A15,calc_bu,$AA$4)/$AC15))</f>
        <v/>
      </c>
      <c r="AA15" s="75">
        <f>COUNTIFS(calc_state,$A15,calc_bu,$AA$4)</f>
        <v/>
      </c>
      <c r="AB15" s="113">
        <f>IF($B$4="All","",$B$4&amp;"|"&amp;$A15)</f>
        <v/>
      </c>
      <c r="AC15" s="75">
        <f>SUMIFS(calc_netmode,calc_state,$A15,calc_bu,$AA$4)</f>
        <v/>
      </c>
    </row>
    <row r="16">
      <c r="A16" s="129">
        <f>_lists!$B$11</f>
        <v/>
      </c>
      <c r="B16" s="130">
        <f>IF($AA16=0,"",SUMIFS(calc_ep,calc_state,$A16,calc_bu,$AA$4))</f>
        <v/>
      </c>
      <c r="C16" s="131">
        <f>IF($AA16=0,"",IF($B16&gt;0,SUMIFS(calc_w_mind,calc_state,$A16,calc_bu,$AA$4)/$B16,SUMIFS(lr_mind,lr_state,$A16,lr_bu,$AA$4)/$AA16))</f>
        <v/>
      </c>
      <c r="D16" s="132">
        <f>IF($AA16=0,"",IF($B16&gt;0,SUMIFS(calc_w_m0,calc_state,$A16,calc_bu,$AA$4)/$B16,SUMIFS(lr_m0,lr_state,$A16,lr_bu,$AA$4)/$AA16))</f>
        <v/>
      </c>
      <c r="E16" s="132">
        <f>IF($AA16=0,"",IF($B16&gt;0,SUMIFS(calc_w_m1,calc_state,$A16,calc_bu,$AA$4)/$B16,SUMIFS(lr_m1,lr_state,$A16,lr_bu,$AA$4)/$AA16))</f>
        <v/>
      </c>
      <c r="F16" s="133">
        <f>IF($AB16="","",IF(COUNTIFS(rl_key,$AB16,rl_seq,1)=0,"",SUMIFS(rl_eff,rl_key,$AB16,rl_seq,1)))</f>
        <v/>
      </c>
      <c r="G16" s="134">
        <f>IF($AB16="","",IF(COUNTIFS(rl_key,$AB16,rl_seq,1)=0,"",SUMIFS(rl_reff,rl_key,$AB16,rl_seq,1)))</f>
        <v/>
      </c>
      <c r="H16" s="135">
        <f>IF($AB16="","",IF(COUNTIFS(rl_key,$AB16,rl_seq,2)=0,"",SUMIFS(rl_eff,rl_key,$AB16,rl_seq,2)))</f>
        <v/>
      </c>
      <c r="I16" s="134">
        <f>IF($AB16="","",IF(COUNTIFS(rl_key,$AB16,rl_seq,2)=0,"",SUMIFS(rl_reff,rl_key,$AB16,rl_seq,2)))</f>
        <v/>
      </c>
      <c r="J16" s="135">
        <f>IF($AB16="","",IF(COUNTIFS(rl_key,$AB16,rl_seq,3)=0,"",SUMIFS(rl_eff,rl_key,$AB16,rl_seq,3)))</f>
        <v/>
      </c>
      <c r="K16" s="134">
        <f>IF($AB16="","",IF(COUNTIFS(rl_key,$AB16,rl_seq,3)=0,"",SUMIFS(rl_reff,rl_key,$AB16,rl_seq,3)))</f>
        <v/>
      </c>
      <c r="L16" s="135">
        <f>IF($AB16="","",IF(COUNTIFS(rl_key,$AB16,rl_seq,4)=0,"",SUMIFS(rl_eff,rl_key,$AB16,rl_seq,4)))</f>
        <v/>
      </c>
      <c r="M16" s="134">
        <f>IF($AB16="","",IF(COUNTIFS(rl_key,$AB16,rl_seq,4)=0,"",SUMIFS(rl_reff,rl_key,$AB16,rl_seq,4)))</f>
        <v/>
      </c>
      <c r="N16" s="136">
        <f>IF($AA16=0,"",IF($AB16="",COUNTIFS(rl_state,$A16,rl_eff,"&lt;&gt;"),COUNTIFS(rl_key,$AB16,rl_eff,"&lt;&gt;")))</f>
        <v/>
      </c>
      <c r="O16" s="137">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32">
        <f>IF($AA16=0,"",IF($B16&gt;0,SUMIFS(calc_w_mbar,calc_state,$A16,calc_bu,$AA$4)/$B16,SUMIFS(calc_mbar_p,calc_state,$A16,calc_bu,$AA$4)/$AA16))</f>
        <v/>
      </c>
      <c r="S16" s="138">
        <f>IF($AA16=0,"",IF($B16&gt;0,SUMIFS(calc_w_amod,calc_state,$A16,calc_bu,$AA$4)/$B16,SUMIFS(calc_amod_p,calc_state,$A16,calc_bu,$AA$4)/$AA16))</f>
        <v/>
      </c>
      <c r="T16" s="139">
        <f>IF($AA16=0,"",IF($B16&gt;0,SUMIFS(calc_w_lrcur,calc_state,$A16,calc_bu,$AA$4)/$B16,SUMIFS(calc_lrcur,calc_state,$A16,calc_bu,$AA$4)/$AA16))</f>
        <v/>
      </c>
      <c r="U16" s="140">
        <f>IF($AA16=0,"",IF($B16&gt;0,SUMIFS(calc_w_cylr,calc_state,$A16,calc_bu,$AA$4)/$B16,SUMIFS(calc_cylr_p,calc_state,$A16,calc_bu,$AA$4)/$AA16))</f>
        <v/>
      </c>
      <c r="V16" s="141">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40">
        <f>IF($AA16=0,"",IF($B16&gt;0,SUMIFS(calc_w_cylr1,calc_state,$A16,calc_bu,$AA$4)/$B16,SUMIFS(calc_cylr_p1,calc_state,$A16,calc_bu,$AA$4)/$AA16))</f>
        <v/>
      </c>
      <c r="Z16" s="141">
        <f>IF($AA16=0,"",IF($AC16=0,"—",SUMIFS(calc_netx,calc_state,$A16,calc_bu,$AA$4)/$AC16))</f>
        <v/>
      </c>
      <c r="AA16" s="75">
        <f>COUNTIFS(calc_state,$A16,calc_bu,$AA$4)</f>
        <v/>
      </c>
      <c r="AB16" s="113">
        <f>IF($B$4="All","",$B$4&amp;"|"&amp;$A16)</f>
        <v/>
      </c>
      <c r="AC16" s="75">
        <f>SUMIFS(calc_netmode,calc_state,$A16,calc_bu,$AA$4)</f>
        <v/>
      </c>
    </row>
    <row r="17">
      <c r="A17" s="142">
        <f>_lists!$B$12</f>
        <v/>
      </c>
      <c r="B17" s="143">
        <f>IF($AA17=0,"",SUMIFS(calc_ep,calc_state,$A17,calc_bu,$AA$4))</f>
        <v/>
      </c>
      <c r="C17" s="144">
        <f>IF($AA17=0,"",IF($B17&gt;0,SUMIFS(calc_w_mind,calc_state,$A17,calc_bu,$AA$4)/$B17,SUMIFS(lr_mind,lr_state,$A17,lr_bu,$AA$4)/$AA17))</f>
        <v/>
      </c>
      <c r="D17" s="145">
        <f>IF($AA17=0,"",IF($B17&gt;0,SUMIFS(calc_w_m0,calc_state,$A17,calc_bu,$AA$4)/$B17,SUMIFS(lr_m0,lr_state,$A17,lr_bu,$AA$4)/$AA17))</f>
        <v/>
      </c>
      <c r="E17" s="145">
        <f>IF($AA17=0,"",IF($B17&gt;0,SUMIFS(calc_w_m1,calc_state,$A17,calc_bu,$AA$4)/$B17,SUMIFS(lr_m1,lr_state,$A17,lr_bu,$AA$4)/$AA17))</f>
        <v/>
      </c>
      <c r="F17" s="146">
        <f>IF($AB17="","",IF(COUNTIFS(rl_key,$AB17,rl_seq,1)=0,"",SUMIFS(rl_eff,rl_key,$AB17,rl_seq,1)))</f>
        <v/>
      </c>
      <c r="G17" s="147">
        <f>IF($AB17="","",IF(COUNTIFS(rl_key,$AB17,rl_seq,1)=0,"",SUMIFS(rl_reff,rl_key,$AB17,rl_seq,1)))</f>
        <v/>
      </c>
      <c r="H17" s="148">
        <f>IF($AB17="","",IF(COUNTIFS(rl_key,$AB17,rl_seq,2)=0,"",SUMIFS(rl_eff,rl_key,$AB17,rl_seq,2)))</f>
        <v/>
      </c>
      <c r="I17" s="147">
        <f>IF($AB17="","",IF(COUNTIFS(rl_key,$AB17,rl_seq,2)=0,"",SUMIFS(rl_reff,rl_key,$AB17,rl_seq,2)))</f>
        <v/>
      </c>
      <c r="J17" s="148">
        <f>IF($AB17="","",IF(COUNTIFS(rl_key,$AB17,rl_seq,3)=0,"",SUMIFS(rl_eff,rl_key,$AB17,rl_seq,3)))</f>
        <v/>
      </c>
      <c r="K17" s="147">
        <f>IF($AB17="","",IF(COUNTIFS(rl_key,$AB17,rl_seq,3)=0,"",SUMIFS(rl_reff,rl_key,$AB17,rl_seq,3)))</f>
        <v/>
      </c>
      <c r="L17" s="148">
        <f>IF($AB17="","",IF(COUNTIFS(rl_key,$AB17,rl_seq,4)=0,"",SUMIFS(rl_eff,rl_key,$AB17,rl_seq,4)))</f>
        <v/>
      </c>
      <c r="M17" s="147">
        <f>IF($AB17="","",IF(COUNTIFS(rl_key,$AB17,rl_seq,4)=0,"",SUMIFS(rl_reff,rl_key,$AB17,rl_seq,4)))</f>
        <v/>
      </c>
      <c r="N17" s="149">
        <f>IF($AA17=0,"",IF($AB17="",COUNTIFS(rl_state,$A17,rl_eff,"&lt;&gt;"),COUNTIFS(rl_key,$AB17,rl_eff,"&lt;&gt;")))</f>
        <v/>
      </c>
      <c r="O17" s="150">
        <f>IF($AA17=0,"",IF($B17&gt;0,SUMIFS(calc_w_crl,calc_state,$A17,calc_bu,$AA$4)/$B17,SUMIFS(calc_crl,calc_state,$A17,calc_bu,$AA$4)/$AA17))</f>
        <v/>
      </c>
      <c r="P17" s="151">
        <f>IF($AA17=0,"",IF($B17&gt;0,SUMIFS(calc_w_ecy,calc_state,$A17,calc_bu,$AA$4)/$B17,SUMIFS(calc_ecy_p,calc_state,$A17,calc_bu,$AA$4)/$AA17))</f>
        <v/>
      </c>
      <c r="Q17" s="151">
        <f>IF($AA17=0,"",IF($B17&gt;0,SUMIFS(calc_w_arate,calc_state,$A17,calc_bu,$AA$4)/$B17,SUMIFS(calc_arate_p,calc_state,$A17,calc_bu,$AA$4)/$AA17))</f>
        <v/>
      </c>
      <c r="R17" s="145">
        <f>IF($AA17=0,"",IF($B17&gt;0,SUMIFS(calc_w_mbar,calc_state,$A17,calc_bu,$AA$4)/$B17,SUMIFS(calc_mbar_p,calc_state,$A17,calc_bu,$AA$4)/$AA17))</f>
        <v/>
      </c>
      <c r="S17" s="151">
        <f>IF($AA17=0,"",IF($B17&gt;0,SUMIFS(calc_w_amod,calc_state,$A17,calc_bu,$AA$4)/$B17,SUMIFS(calc_amod_p,calc_state,$A17,calc_bu,$AA$4)/$AA17))</f>
        <v/>
      </c>
      <c r="T17" s="152">
        <f>IF($AA17=0,"",IF($B17&gt;0,SUMIFS(calc_w_lrcur,calc_state,$A17,calc_bu,$AA$4)/$B17,SUMIFS(calc_lrcur,calc_state,$A17,calc_bu,$AA$4)/$AA17))</f>
        <v/>
      </c>
      <c r="U17" s="153">
        <f>IF($AA17=0,"",IF($B17&gt;0,SUMIFS(calc_w_cylr,calc_state,$A17,calc_bu,$AA$4)/$B17,SUMIFS(calc_cylr_p,calc_state,$A17,calc_bu,$AA$4)/$AA17))</f>
        <v/>
      </c>
      <c r="V17" s="154">
        <f>IF($AA17=0,"",IF($B17&gt;0,SUMIFS(calc_w_trend,calc_state,$A17,calc_bu,$AA$4)/$B17,SUMIFS(calc_trend,calc_state,$A17,calc_bu,$AA$4)/$AA17))</f>
        <v/>
      </c>
      <c r="W17" s="151">
        <f>IF($AA17=0,"",IF($B17&gt;0,SUMIFS(calc_w_arate1,calc_state,$A17,calc_bu,$AA$4)/$B17,SUMIFS(calc_arate_p1,calc_state,$A17,calc_bu,$AA$4)/$AA17))</f>
        <v/>
      </c>
      <c r="X17" s="151">
        <f>IF($AA17=0,"",IF($B17&gt;0,SUMIFS(calc_w_amod1,calc_state,$A17,calc_bu,$AA$4)/$B17,SUMIFS(calc_amod_p1,calc_state,$A17,calc_bu,$AA$4)/$AA17))</f>
        <v/>
      </c>
      <c r="Y17" s="153">
        <f>IF($AA17=0,"",IF($B17&gt;0,SUMIFS(calc_w_cylr1,calc_state,$A17,calc_bu,$AA$4)/$B17,SUMIFS(calc_cylr_p1,calc_state,$A17,calc_bu,$AA$4)/$AA17))</f>
        <v/>
      </c>
      <c r="Z17" s="154">
        <f>IF($AA17=0,"",IF($AC17=0,"—",SUMIFS(calc_netx,calc_state,$A17,calc_bu,$AA$4)/$AC17))</f>
        <v/>
      </c>
      <c r="AA17" s="75">
        <f>COUNTIFS(calc_state,$A17,calc_bu,$AA$4)</f>
        <v/>
      </c>
      <c r="AB17" s="113">
        <f>IF($B$4="All","",$B$4&amp;"|"&amp;$A17)</f>
        <v/>
      </c>
      <c r="AC17" s="75">
        <f>SUMIFS(calc_netmode,calc_state,$A17,calc_bu,$AA$4)</f>
        <v/>
      </c>
    </row>
    <row r="18">
      <c r="A18" s="129">
        <f>_lists!$B$13</f>
        <v/>
      </c>
      <c r="B18" s="130">
        <f>IF($AA18=0,"",SUMIFS(calc_ep,calc_state,$A18,calc_bu,$AA$4))</f>
        <v/>
      </c>
      <c r="C18" s="131">
        <f>IF($AA18=0,"",IF($B18&gt;0,SUMIFS(calc_w_mind,calc_state,$A18,calc_bu,$AA$4)/$B18,SUMIFS(lr_mind,lr_state,$A18,lr_bu,$AA$4)/$AA18))</f>
        <v/>
      </c>
      <c r="D18" s="132">
        <f>IF($AA18=0,"",IF($B18&gt;0,SUMIFS(calc_w_m0,calc_state,$A18,calc_bu,$AA$4)/$B18,SUMIFS(lr_m0,lr_state,$A18,lr_bu,$AA$4)/$AA18))</f>
        <v/>
      </c>
      <c r="E18" s="132">
        <f>IF($AA18=0,"",IF($B18&gt;0,SUMIFS(calc_w_m1,calc_state,$A18,calc_bu,$AA$4)/$B18,SUMIFS(lr_m1,lr_state,$A18,lr_bu,$AA$4)/$AA18))</f>
        <v/>
      </c>
      <c r="F18" s="133">
        <f>IF($AB18="","",IF(COUNTIFS(rl_key,$AB18,rl_seq,1)=0,"",SUMIFS(rl_eff,rl_key,$AB18,rl_seq,1)))</f>
        <v/>
      </c>
      <c r="G18" s="134">
        <f>IF($AB18="","",IF(COUNTIFS(rl_key,$AB18,rl_seq,1)=0,"",SUMIFS(rl_reff,rl_key,$AB18,rl_seq,1)))</f>
        <v/>
      </c>
      <c r="H18" s="135">
        <f>IF($AB18="","",IF(COUNTIFS(rl_key,$AB18,rl_seq,2)=0,"",SUMIFS(rl_eff,rl_key,$AB18,rl_seq,2)))</f>
        <v/>
      </c>
      <c r="I18" s="134">
        <f>IF($AB18="","",IF(COUNTIFS(rl_key,$AB18,rl_seq,2)=0,"",SUMIFS(rl_reff,rl_key,$AB18,rl_seq,2)))</f>
        <v/>
      </c>
      <c r="J18" s="135">
        <f>IF($AB18="","",IF(COUNTIFS(rl_key,$AB18,rl_seq,3)=0,"",SUMIFS(rl_eff,rl_key,$AB18,rl_seq,3)))</f>
        <v/>
      </c>
      <c r="K18" s="134">
        <f>IF($AB18="","",IF(COUNTIFS(rl_key,$AB18,rl_seq,3)=0,"",SUMIFS(rl_reff,rl_key,$AB18,rl_seq,3)))</f>
        <v/>
      </c>
      <c r="L18" s="135">
        <f>IF($AB18="","",IF(COUNTIFS(rl_key,$AB18,rl_seq,4)=0,"",SUMIFS(rl_eff,rl_key,$AB18,rl_seq,4)))</f>
        <v/>
      </c>
      <c r="M18" s="134">
        <f>IF($AB18="","",IF(COUNTIFS(rl_key,$AB18,rl_seq,4)=0,"",SUMIFS(rl_reff,rl_key,$AB18,rl_seq,4)))</f>
        <v/>
      </c>
      <c r="N18" s="136">
        <f>IF($AA18=0,"",IF($AB18="",COUNTIFS(rl_state,$A18,rl_eff,"&lt;&gt;"),COUNTIFS(rl_key,$AB18,rl_eff,"&lt;&gt;")))</f>
        <v/>
      </c>
      <c r="O18" s="137">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32">
        <f>IF($AA18=0,"",IF($B18&gt;0,SUMIFS(calc_w_mbar,calc_state,$A18,calc_bu,$AA$4)/$B18,SUMIFS(calc_mbar_p,calc_state,$A18,calc_bu,$AA$4)/$AA18))</f>
        <v/>
      </c>
      <c r="S18" s="138">
        <f>IF($AA18=0,"",IF($B18&gt;0,SUMIFS(calc_w_amod,calc_state,$A18,calc_bu,$AA$4)/$B18,SUMIFS(calc_amod_p,calc_state,$A18,calc_bu,$AA$4)/$AA18))</f>
        <v/>
      </c>
      <c r="T18" s="139">
        <f>IF($AA18=0,"",IF($B18&gt;0,SUMIFS(calc_w_lrcur,calc_state,$A18,calc_bu,$AA$4)/$B18,SUMIFS(calc_lrcur,calc_state,$A18,calc_bu,$AA$4)/$AA18))</f>
        <v/>
      </c>
      <c r="U18" s="140">
        <f>IF($AA18=0,"",IF($B18&gt;0,SUMIFS(calc_w_cylr,calc_state,$A18,calc_bu,$AA$4)/$B18,SUMIFS(calc_cylr_p,calc_state,$A18,calc_bu,$AA$4)/$AA18))</f>
        <v/>
      </c>
      <c r="V18" s="141">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40">
        <f>IF($AA18=0,"",IF($B18&gt;0,SUMIFS(calc_w_cylr1,calc_state,$A18,calc_bu,$AA$4)/$B18,SUMIFS(calc_cylr_p1,calc_state,$A18,calc_bu,$AA$4)/$AA18))</f>
        <v/>
      </c>
      <c r="Z18" s="141">
        <f>IF($AA18=0,"",IF($AC18=0,"—",SUMIFS(calc_netx,calc_state,$A18,calc_bu,$AA$4)/$AC18))</f>
        <v/>
      </c>
      <c r="AA18" s="75">
        <f>COUNTIFS(calc_state,$A18,calc_bu,$AA$4)</f>
        <v/>
      </c>
      <c r="AB18" s="113">
        <f>IF($B$4="All","",$B$4&amp;"|"&amp;$A18)</f>
        <v/>
      </c>
      <c r="AC18" s="75">
        <f>SUMIFS(calc_netmode,calc_state,$A18,calc_bu,$AA$4)</f>
        <v/>
      </c>
    </row>
    <row r="19">
      <c r="A19" s="142">
        <f>_lists!$B$14</f>
        <v/>
      </c>
      <c r="B19" s="143">
        <f>IF($AA19=0,"",SUMIFS(calc_ep,calc_state,$A19,calc_bu,$AA$4))</f>
        <v/>
      </c>
      <c r="C19" s="144">
        <f>IF($AA19=0,"",IF($B19&gt;0,SUMIFS(calc_w_mind,calc_state,$A19,calc_bu,$AA$4)/$B19,SUMIFS(lr_mind,lr_state,$A19,lr_bu,$AA$4)/$AA19))</f>
        <v/>
      </c>
      <c r="D19" s="145">
        <f>IF($AA19=0,"",IF($B19&gt;0,SUMIFS(calc_w_m0,calc_state,$A19,calc_bu,$AA$4)/$B19,SUMIFS(lr_m0,lr_state,$A19,lr_bu,$AA$4)/$AA19))</f>
        <v/>
      </c>
      <c r="E19" s="145">
        <f>IF($AA19=0,"",IF($B19&gt;0,SUMIFS(calc_w_m1,calc_state,$A19,calc_bu,$AA$4)/$B19,SUMIFS(lr_m1,lr_state,$A19,lr_bu,$AA$4)/$AA19))</f>
        <v/>
      </c>
      <c r="F19" s="146">
        <f>IF($AB19="","",IF(COUNTIFS(rl_key,$AB19,rl_seq,1)=0,"",SUMIFS(rl_eff,rl_key,$AB19,rl_seq,1)))</f>
        <v/>
      </c>
      <c r="G19" s="147">
        <f>IF($AB19="","",IF(COUNTIFS(rl_key,$AB19,rl_seq,1)=0,"",SUMIFS(rl_reff,rl_key,$AB19,rl_seq,1)))</f>
        <v/>
      </c>
      <c r="H19" s="148">
        <f>IF($AB19="","",IF(COUNTIFS(rl_key,$AB19,rl_seq,2)=0,"",SUMIFS(rl_eff,rl_key,$AB19,rl_seq,2)))</f>
        <v/>
      </c>
      <c r="I19" s="147">
        <f>IF($AB19="","",IF(COUNTIFS(rl_key,$AB19,rl_seq,2)=0,"",SUMIFS(rl_reff,rl_key,$AB19,rl_seq,2)))</f>
        <v/>
      </c>
      <c r="J19" s="148">
        <f>IF($AB19="","",IF(COUNTIFS(rl_key,$AB19,rl_seq,3)=0,"",SUMIFS(rl_eff,rl_key,$AB19,rl_seq,3)))</f>
        <v/>
      </c>
      <c r="K19" s="147">
        <f>IF($AB19="","",IF(COUNTIFS(rl_key,$AB19,rl_seq,3)=0,"",SUMIFS(rl_reff,rl_key,$AB19,rl_seq,3)))</f>
        <v/>
      </c>
      <c r="L19" s="148">
        <f>IF($AB19="","",IF(COUNTIFS(rl_key,$AB19,rl_seq,4)=0,"",SUMIFS(rl_eff,rl_key,$AB19,rl_seq,4)))</f>
        <v/>
      </c>
      <c r="M19" s="147">
        <f>IF($AB19="","",IF(COUNTIFS(rl_key,$AB19,rl_seq,4)=0,"",SUMIFS(rl_reff,rl_key,$AB19,rl_seq,4)))</f>
        <v/>
      </c>
      <c r="N19" s="149">
        <f>IF($AA19=0,"",IF($AB19="",COUNTIFS(rl_state,$A19,rl_eff,"&lt;&gt;"),COUNTIFS(rl_key,$AB19,rl_eff,"&lt;&gt;")))</f>
        <v/>
      </c>
      <c r="O19" s="150">
        <f>IF($AA19=0,"",IF($B19&gt;0,SUMIFS(calc_w_crl,calc_state,$A19,calc_bu,$AA$4)/$B19,SUMIFS(calc_crl,calc_state,$A19,calc_bu,$AA$4)/$AA19))</f>
        <v/>
      </c>
      <c r="P19" s="151">
        <f>IF($AA19=0,"",IF($B19&gt;0,SUMIFS(calc_w_ecy,calc_state,$A19,calc_bu,$AA$4)/$B19,SUMIFS(calc_ecy_p,calc_state,$A19,calc_bu,$AA$4)/$AA19))</f>
        <v/>
      </c>
      <c r="Q19" s="151">
        <f>IF($AA19=0,"",IF($B19&gt;0,SUMIFS(calc_w_arate,calc_state,$A19,calc_bu,$AA$4)/$B19,SUMIFS(calc_arate_p,calc_state,$A19,calc_bu,$AA$4)/$AA19))</f>
        <v/>
      </c>
      <c r="R19" s="145">
        <f>IF($AA19=0,"",IF($B19&gt;0,SUMIFS(calc_w_mbar,calc_state,$A19,calc_bu,$AA$4)/$B19,SUMIFS(calc_mbar_p,calc_state,$A19,calc_bu,$AA$4)/$AA19))</f>
        <v/>
      </c>
      <c r="S19" s="151">
        <f>IF($AA19=0,"",IF($B19&gt;0,SUMIFS(calc_w_amod,calc_state,$A19,calc_bu,$AA$4)/$B19,SUMIFS(calc_amod_p,calc_state,$A19,calc_bu,$AA$4)/$AA19))</f>
        <v/>
      </c>
      <c r="T19" s="152">
        <f>IF($AA19=0,"",IF($B19&gt;0,SUMIFS(calc_w_lrcur,calc_state,$A19,calc_bu,$AA$4)/$B19,SUMIFS(calc_lrcur,calc_state,$A19,calc_bu,$AA$4)/$AA19))</f>
        <v/>
      </c>
      <c r="U19" s="153">
        <f>IF($AA19=0,"",IF($B19&gt;0,SUMIFS(calc_w_cylr,calc_state,$A19,calc_bu,$AA$4)/$B19,SUMIFS(calc_cylr_p,calc_state,$A19,calc_bu,$AA$4)/$AA19))</f>
        <v/>
      </c>
      <c r="V19" s="154">
        <f>IF($AA19=0,"",IF($B19&gt;0,SUMIFS(calc_w_trend,calc_state,$A19,calc_bu,$AA$4)/$B19,SUMIFS(calc_trend,calc_state,$A19,calc_bu,$AA$4)/$AA19))</f>
        <v/>
      </c>
      <c r="W19" s="151">
        <f>IF($AA19=0,"",IF($B19&gt;0,SUMIFS(calc_w_arate1,calc_state,$A19,calc_bu,$AA$4)/$B19,SUMIFS(calc_arate_p1,calc_state,$A19,calc_bu,$AA$4)/$AA19))</f>
        <v/>
      </c>
      <c r="X19" s="151">
        <f>IF($AA19=0,"",IF($B19&gt;0,SUMIFS(calc_w_amod1,calc_state,$A19,calc_bu,$AA$4)/$B19,SUMIFS(calc_amod_p1,calc_state,$A19,calc_bu,$AA$4)/$AA19))</f>
        <v/>
      </c>
      <c r="Y19" s="153">
        <f>IF($AA19=0,"",IF($B19&gt;0,SUMIFS(calc_w_cylr1,calc_state,$A19,calc_bu,$AA$4)/$B19,SUMIFS(calc_cylr_p1,calc_state,$A19,calc_bu,$AA$4)/$AA19))</f>
        <v/>
      </c>
      <c r="Z19" s="154">
        <f>IF($AA19=0,"",IF($AC19=0,"—",SUMIFS(calc_netx,calc_state,$A19,calc_bu,$AA$4)/$AC19))</f>
        <v/>
      </c>
      <c r="AA19" s="75">
        <f>COUNTIFS(calc_state,$A19,calc_bu,$AA$4)</f>
        <v/>
      </c>
      <c r="AB19" s="113">
        <f>IF($B$4="All","",$B$4&amp;"|"&amp;$A19)</f>
        <v/>
      </c>
      <c r="AC19" s="75">
        <f>SUMIFS(calc_netmode,calc_state,$A19,calc_bu,$AA$4)</f>
        <v/>
      </c>
    </row>
    <row r="20">
      <c r="A20" s="129">
        <f>_lists!$B$15</f>
        <v/>
      </c>
      <c r="B20" s="130">
        <f>IF($AA20=0,"",SUMIFS(calc_ep,calc_state,$A20,calc_bu,$AA$4))</f>
        <v/>
      </c>
      <c r="C20" s="131">
        <f>IF($AA20=0,"",IF($B20&gt;0,SUMIFS(calc_w_mind,calc_state,$A20,calc_bu,$AA$4)/$B20,SUMIFS(lr_mind,lr_state,$A20,lr_bu,$AA$4)/$AA20))</f>
        <v/>
      </c>
      <c r="D20" s="132">
        <f>IF($AA20=0,"",IF($B20&gt;0,SUMIFS(calc_w_m0,calc_state,$A20,calc_bu,$AA$4)/$B20,SUMIFS(lr_m0,lr_state,$A20,lr_bu,$AA$4)/$AA20))</f>
        <v/>
      </c>
      <c r="E20" s="132">
        <f>IF($AA20=0,"",IF($B20&gt;0,SUMIFS(calc_w_m1,calc_state,$A20,calc_bu,$AA$4)/$B20,SUMIFS(lr_m1,lr_state,$A20,lr_bu,$AA$4)/$AA20))</f>
        <v/>
      </c>
      <c r="F20" s="133">
        <f>IF($AB20="","",IF(COUNTIFS(rl_key,$AB20,rl_seq,1)=0,"",SUMIFS(rl_eff,rl_key,$AB20,rl_seq,1)))</f>
        <v/>
      </c>
      <c r="G20" s="134">
        <f>IF($AB20="","",IF(COUNTIFS(rl_key,$AB20,rl_seq,1)=0,"",SUMIFS(rl_reff,rl_key,$AB20,rl_seq,1)))</f>
        <v/>
      </c>
      <c r="H20" s="135">
        <f>IF($AB20="","",IF(COUNTIFS(rl_key,$AB20,rl_seq,2)=0,"",SUMIFS(rl_eff,rl_key,$AB20,rl_seq,2)))</f>
        <v/>
      </c>
      <c r="I20" s="134">
        <f>IF($AB20="","",IF(COUNTIFS(rl_key,$AB20,rl_seq,2)=0,"",SUMIFS(rl_reff,rl_key,$AB20,rl_seq,2)))</f>
        <v/>
      </c>
      <c r="J20" s="135">
        <f>IF($AB20="","",IF(COUNTIFS(rl_key,$AB20,rl_seq,3)=0,"",SUMIFS(rl_eff,rl_key,$AB20,rl_seq,3)))</f>
        <v/>
      </c>
      <c r="K20" s="134">
        <f>IF($AB20="","",IF(COUNTIFS(rl_key,$AB20,rl_seq,3)=0,"",SUMIFS(rl_reff,rl_key,$AB20,rl_seq,3)))</f>
        <v/>
      </c>
      <c r="L20" s="135">
        <f>IF($AB20="","",IF(COUNTIFS(rl_key,$AB20,rl_seq,4)=0,"",SUMIFS(rl_eff,rl_key,$AB20,rl_seq,4)))</f>
        <v/>
      </c>
      <c r="M20" s="134">
        <f>IF($AB20="","",IF(COUNTIFS(rl_key,$AB20,rl_seq,4)=0,"",SUMIFS(rl_reff,rl_key,$AB20,rl_seq,4)))</f>
        <v/>
      </c>
      <c r="N20" s="136">
        <f>IF($AA20=0,"",IF($AB20="",COUNTIFS(rl_state,$A20,rl_eff,"&lt;&gt;"),COUNTIFS(rl_key,$AB20,rl_eff,"&lt;&gt;")))</f>
        <v/>
      </c>
      <c r="O20" s="137">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32">
        <f>IF($AA20=0,"",IF($B20&gt;0,SUMIFS(calc_w_mbar,calc_state,$A20,calc_bu,$AA$4)/$B20,SUMIFS(calc_mbar_p,calc_state,$A20,calc_bu,$AA$4)/$AA20))</f>
        <v/>
      </c>
      <c r="S20" s="138">
        <f>IF($AA20=0,"",IF($B20&gt;0,SUMIFS(calc_w_amod,calc_state,$A20,calc_bu,$AA$4)/$B20,SUMIFS(calc_amod_p,calc_state,$A20,calc_bu,$AA$4)/$AA20))</f>
        <v/>
      </c>
      <c r="T20" s="139">
        <f>IF($AA20=0,"",IF($B20&gt;0,SUMIFS(calc_w_lrcur,calc_state,$A20,calc_bu,$AA$4)/$B20,SUMIFS(calc_lrcur,calc_state,$A20,calc_bu,$AA$4)/$AA20))</f>
        <v/>
      </c>
      <c r="U20" s="140">
        <f>IF($AA20=0,"",IF($B20&gt;0,SUMIFS(calc_w_cylr,calc_state,$A20,calc_bu,$AA$4)/$B20,SUMIFS(calc_cylr_p,calc_state,$A20,calc_bu,$AA$4)/$AA20))</f>
        <v/>
      </c>
      <c r="V20" s="141">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40">
        <f>IF($AA20=0,"",IF($B20&gt;0,SUMIFS(calc_w_cylr1,calc_state,$A20,calc_bu,$AA$4)/$B20,SUMIFS(calc_cylr_p1,calc_state,$A20,calc_bu,$AA$4)/$AA20))</f>
        <v/>
      </c>
      <c r="Z20" s="141">
        <f>IF($AA20=0,"",IF($AC20=0,"—",SUMIFS(calc_netx,calc_state,$A20,calc_bu,$AA$4)/$AC20))</f>
        <v/>
      </c>
      <c r="AA20" s="75">
        <f>COUNTIFS(calc_state,$A20,calc_bu,$AA$4)</f>
        <v/>
      </c>
      <c r="AB20" s="113">
        <f>IF($B$4="All","",$B$4&amp;"|"&amp;$A20)</f>
        <v/>
      </c>
      <c r="AC20" s="75">
        <f>SUMIFS(calc_netmode,calc_state,$A20,calc_bu,$AA$4)</f>
        <v/>
      </c>
    </row>
    <row r="21">
      <c r="A21" s="142">
        <f>_lists!$B$16</f>
        <v/>
      </c>
      <c r="B21" s="143">
        <f>IF($AA21=0,"",SUMIFS(calc_ep,calc_state,$A21,calc_bu,$AA$4))</f>
        <v/>
      </c>
      <c r="C21" s="144">
        <f>IF($AA21=0,"",IF($B21&gt;0,SUMIFS(calc_w_mind,calc_state,$A21,calc_bu,$AA$4)/$B21,SUMIFS(lr_mind,lr_state,$A21,lr_bu,$AA$4)/$AA21))</f>
        <v/>
      </c>
      <c r="D21" s="145">
        <f>IF($AA21=0,"",IF($B21&gt;0,SUMIFS(calc_w_m0,calc_state,$A21,calc_bu,$AA$4)/$B21,SUMIFS(lr_m0,lr_state,$A21,lr_bu,$AA$4)/$AA21))</f>
        <v/>
      </c>
      <c r="E21" s="145">
        <f>IF($AA21=0,"",IF($B21&gt;0,SUMIFS(calc_w_m1,calc_state,$A21,calc_bu,$AA$4)/$B21,SUMIFS(lr_m1,lr_state,$A21,lr_bu,$AA$4)/$AA21))</f>
        <v/>
      </c>
      <c r="F21" s="146">
        <f>IF($AB21="","",IF(COUNTIFS(rl_key,$AB21,rl_seq,1)=0,"",SUMIFS(rl_eff,rl_key,$AB21,rl_seq,1)))</f>
        <v/>
      </c>
      <c r="G21" s="147">
        <f>IF($AB21="","",IF(COUNTIFS(rl_key,$AB21,rl_seq,1)=0,"",SUMIFS(rl_reff,rl_key,$AB21,rl_seq,1)))</f>
        <v/>
      </c>
      <c r="H21" s="148">
        <f>IF($AB21="","",IF(COUNTIFS(rl_key,$AB21,rl_seq,2)=0,"",SUMIFS(rl_eff,rl_key,$AB21,rl_seq,2)))</f>
        <v/>
      </c>
      <c r="I21" s="147">
        <f>IF($AB21="","",IF(COUNTIFS(rl_key,$AB21,rl_seq,2)=0,"",SUMIFS(rl_reff,rl_key,$AB21,rl_seq,2)))</f>
        <v/>
      </c>
      <c r="J21" s="148">
        <f>IF($AB21="","",IF(COUNTIFS(rl_key,$AB21,rl_seq,3)=0,"",SUMIFS(rl_eff,rl_key,$AB21,rl_seq,3)))</f>
        <v/>
      </c>
      <c r="K21" s="147">
        <f>IF($AB21="","",IF(COUNTIFS(rl_key,$AB21,rl_seq,3)=0,"",SUMIFS(rl_reff,rl_key,$AB21,rl_seq,3)))</f>
        <v/>
      </c>
      <c r="L21" s="148">
        <f>IF($AB21="","",IF(COUNTIFS(rl_key,$AB21,rl_seq,4)=0,"",SUMIFS(rl_eff,rl_key,$AB21,rl_seq,4)))</f>
        <v/>
      </c>
      <c r="M21" s="147">
        <f>IF($AB21="","",IF(COUNTIFS(rl_key,$AB21,rl_seq,4)=0,"",SUMIFS(rl_reff,rl_key,$AB21,rl_seq,4)))</f>
        <v/>
      </c>
      <c r="N21" s="149">
        <f>IF($AA21=0,"",IF($AB21="",COUNTIFS(rl_state,$A21,rl_eff,"&lt;&gt;"),COUNTIFS(rl_key,$AB21,rl_eff,"&lt;&gt;")))</f>
        <v/>
      </c>
      <c r="O21" s="150">
        <f>IF($AA21=0,"",IF($B21&gt;0,SUMIFS(calc_w_crl,calc_state,$A21,calc_bu,$AA$4)/$B21,SUMIFS(calc_crl,calc_state,$A21,calc_bu,$AA$4)/$AA21))</f>
        <v/>
      </c>
      <c r="P21" s="151">
        <f>IF($AA21=0,"",IF($B21&gt;0,SUMIFS(calc_w_ecy,calc_state,$A21,calc_bu,$AA$4)/$B21,SUMIFS(calc_ecy_p,calc_state,$A21,calc_bu,$AA$4)/$AA21))</f>
        <v/>
      </c>
      <c r="Q21" s="151">
        <f>IF($AA21=0,"",IF($B21&gt;0,SUMIFS(calc_w_arate,calc_state,$A21,calc_bu,$AA$4)/$B21,SUMIFS(calc_arate_p,calc_state,$A21,calc_bu,$AA$4)/$AA21))</f>
        <v/>
      </c>
      <c r="R21" s="145">
        <f>IF($AA21=0,"",IF($B21&gt;0,SUMIFS(calc_w_mbar,calc_state,$A21,calc_bu,$AA$4)/$B21,SUMIFS(calc_mbar_p,calc_state,$A21,calc_bu,$AA$4)/$AA21))</f>
        <v/>
      </c>
      <c r="S21" s="151">
        <f>IF($AA21=0,"",IF($B21&gt;0,SUMIFS(calc_w_amod,calc_state,$A21,calc_bu,$AA$4)/$B21,SUMIFS(calc_amod_p,calc_state,$A21,calc_bu,$AA$4)/$AA21))</f>
        <v/>
      </c>
      <c r="T21" s="152">
        <f>IF($AA21=0,"",IF($B21&gt;0,SUMIFS(calc_w_lrcur,calc_state,$A21,calc_bu,$AA$4)/$B21,SUMIFS(calc_lrcur,calc_state,$A21,calc_bu,$AA$4)/$AA21))</f>
        <v/>
      </c>
      <c r="U21" s="153">
        <f>IF($AA21=0,"",IF($B21&gt;0,SUMIFS(calc_w_cylr,calc_state,$A21,calc_bu,$AA$4)/$B21,SUMIFS(calc_cylr_p,calc_state,$A21,calc_bu,$AA$4)/$AA21))</f>
        <v/>
      </c>
      <c r="V21" s="154">
        <f>IF($AA21=0,"",IF($B21&gt;0,SUMIFS(calc_w_trend,calc_state,$A21,calc_bu,$AA$4)/$B21,SUMIFS(calc_trend,calc_state,$A21,calc_bu,$AA$4)/$AA21))</f>
        <v/>
      </c>
      <c r="W21" s="151">
        <f>IF($AA21=0,"",IF($B21&gt;0,SUMIFS(calc_w_arate1,calc_state,$A21,calc_bu,$AA$4)/$B21,SUMIFS(calc_arate_p1,calc_state,$A21,calc_bu,$AA$4)/$AA21))</f>
        <v/>
      </c>
      <c r="X21" s="151">
        <f>IF($AA21=0,"",IF($B21&gt;0,SUMIFS(calc_w_amod1,calc_state,$A21,calc_bu,$AA$4)/$B21,SUMIFS(calc_amod_p1,calc_state,$A21,calc_bu,$AA$4)/$AA21))</f>
        <v/>
      </c>
      <c r="Y21" s="153">
        <f>IF($AA21=0,"",IF($B21&gt;0,SUMIFS(calc_w_cylr1,calc_state,$A21,calc_bu,$AA$4)/$B21,SUMIFS(calc_cylr_p1,calc_state,$A21,calc_bu,$AA$4)/$AA21))</f>
        <v/>
      </c>
      <c r="Z21" s="154">
        <f>IF($AA21=0,"",IF($AC21=0,"—",SUMIFS(calc_netx,calc_state,$A21,calc_bu,$AA$4)/$AC21))</f>
        <v/>
      </c>
      <c r="AA21" s="75">
        <f>COUNTIFS(calc_state,$A21,calc_bu,$AA$4)</f>
        <v/>
      </c>
      <c r="AB21" s="113">
        <f>IF($B$4="All","",$B$4&amp;"|"&amp;$A21)</f>
        <v/>
      </c>
      <c r="AC21" s="75">
        <f>SUMIFS(calc_netmode,calc_state,$A21,calc_bu,$AA$4)</f>
        <v/>
      </c>
    </row>
    <row r="22">
      <c r="A22" s="129">
        <f>_lists!$B$17</f>
        <v/>
      </c>
      <c r="B22" s="130">
        <f>IF($AA22=0,"",SUMIFS(calc_ep,calc_state,$A22,calc_bu,$AA$4))</f>
        <v/>
      </c>
      <c r="C22" s="131">
        <f>IF($AA22=0,"",IF($B22&gt;0,SUMIFS(calc_w_mind,calc_state,$A22,calc_bu,$AA$4)/$B22,SUMIFS(lr_mind,lr_state,$A22,lr_bu,$AA$4)/$AA22))</f>
        <v/>
      </c>
      <c r="D22" s="132">
        <f>IF($AA22=0,"",IF($B22&gt;0,SUMIFS(calc_w_m0,calc_state,$A22,calc_bu,$AA$4)/$B22,SUMIFS(lr_m0,lr_state,$A22,lr_bu,$AA$4)/$AA22))</f>
        <v/>
      </c>
      <c r="E22" s="132">
        <f>IF($AA22=0,"",IF($B22&gt;0,SUMIFS(calc_w_m1,calc_state,$A22,calc_bu,$AA$4)/$B22,SUMIFS(lr_m1,lr_state,$A22,lr_bu,$AA$4)/$AA22))</f>
        <v/>
      </c>
      <c r="F22" s="133">
        <f>IF($AB22="","",IF(COUNTIFS(rl_key,$AB22,rl_seq,1)=0,"",SUMIFS(rl_eff,rl_key,$AB22,rl_seq,1)))</f>
        <v/>
      </c>
      <c r="G22" s="134">
        <f>IF($AB22="","",IF(COUNTIFS(rl_key,$AB22,rl_seq,1)=0,"",SUMIFS(rl_reff,rl_key,$AB22,rl_seq,1)))</f>
        <v/>
      </c>
      <c r="H22" s="135">
        <f>IF($AB22="","",IF(COUNTIFS(rl_key,$AB22,rl_seq,2)=0,"",SUMIFS(rl_eff,rl_key,$AB22,rl_seq,2)))</f>
        <v/>
      </c>
      <c r="I22" s="134">
        <f>IF($AB22="","",IF(COUNTIFS(rl_key,$AB22,rl_seq,2)=0,"",SUMIFS(rl_reff,rl_key,$AB22,rl_seq,2)))</f>
        <v/>
      </c>
      <c r="J22" s="135">
        <f>IF($AB22="","",IF(COUNTIFS(rl_key,$AB22,rl_seq,3)=0,"",SUMIFS(rl_eff,rl_key,$AB22,rl_seq,3)))</f>
        <v/>
      </c>
      <c r="K22" s="134">
        <f>IF($AB22="","",IF(COUNTIFS(rl_key,$AB22,rl_seq,3)=0,"",SUMIFS(rl_reff,rl_key,$AB22,rl_seq,3)))</f>
        <v/>
      </c>
      <c r="L22" s="135">
        <f>IF($AB22="","",IF(COUNTIFS(rl_key,$AB22,rl_seq,4)=0,"",SUMIFS(rl_eff,rl_key,$AB22,rl_seq,4)))</f>
        <v/>
      </c>
      <c r="M22" s="134">
        <f>IF($AB22="","",IF(COUNTIFS(rl_key,$AB22,rl_seq,4)=0,"",SUMIFS(rl_reff,rl_key,$AB22,rl_seq,4)))</f>
        <v/>
      </c>
      <c r="N22" s="136">
        <f>IF($AA22=0,"",IF($AB22="",COUNTIFS(rl_state,$A22,rl_eff,"&lt;&gt;"),COUNTIFS(rl_key,$AB22,rl_eff,"&lt;&gt;")))</f>
        <v/>
      </c>
      <c r="O22" s="137">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32">
        <f>IF($AA22=0,"",IF($B22&gt;0,SUMIFS(calc_w_mbar,calc_state,$A22,calc_bu,$AA$4)/$B22,SUMIFS(calc_mbar_p,calc_state,$A22,calc_bu,$AA$4)/$AA22))</f>
        <v/>
      </c>
      <c r="S22" s="138">
        <f>IF($AA22=0,"",IF($B22&gt;0,SUMIFS(calc_w_amod,calc_state,$A22,calc_bu,$AA$4)/$B22,SUMIFS(calc_amod_p,calc_state,$A22,calc_bu,$AA$4)/$AA22))</f>
        <v/>
      </c>
      <c r="T22" s="139">
        <f>IF($AA22=0,"",IF($B22&gt;0,SUMIFS(calc_w_lrcur,calc_state,$A22,calc_bu,$AA$4)/$B22,SUMIFS(calc_lrcur,calc_state,$A22,calc_bu,$AA$4)/$AA22))</f>
        <v/>
      </c>
      <c r="U22" s="140">
        <f>IF($AA22=0,"",IF($B22&gt;0,SUMIFS(calc_w_cylr,calc_state,$A22,calc_bu,$AA$4)/$B22,SUMIFS(calc_cylr_p,calc_state,$A22,calc_bu,$AA$4)/$AA22))</f>
        <v/>
      </c>
      <c r="V22" s="141">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40">
        <f>IF($AA22=0,"",IF($B22&gt;0,SUMIFS(calc_w_cylr1,calc_state,$A22,calc_bu,$AA$4)/$B22,SUMIFS(calc_cylr_p1,calc_state,$A22,calc_bu,$AA$4)/$AA22))</f>
        <v/>
      </c>
      <c r="Z22" s="141">
        <f>IF($AA22=0,"",IF($AC22=0,"—",SUMIFS(calc_netx,calc_state,$A22,calc_bu,$AA$4)/$AC22))</f>
        <v/>
      </c>
      <c r="AA22" s="75">
        <f>COUNTIFS(calc_state,$A22,calc_bu,$AA$4)</f>
        <v/>
      </c>
      <c r="AB22" s="113">
        <f>IF($B$4="All","",$B$4&amp;"|"&amp;$A22)</f>
        <v/>
      </c>
      <c r="AC22" s="75">
        <f>SUMIFS(calc_netmode,calc_state,$A22,calc_bu,$AA$4)</f>
        <v/>
      </c>
    </row>
    <row r="23">
      <c r="A23" s="142">
        <f>_lists!$B$18</f>
        <v/>
      </c>
      <c r="B23" s="143">
        <f>IF($AA23=0,"",SUMIFS(calc_ep,calc_state,$A23,calc_bu,$AA$4))</f>
        <v/>
      </c>
      <c r="C23" s="144">
        <f>IF($AA23=0,"",IF($B23&gt;0,SUMIFS(calc_w_mind,calc_state,$A23,calc_bu,$AA$4)/$B23,SUMIFS(lr_mind,lr_state,$A23,lr_bu,$AA$4)/$AA23))</f>
        <v/>
      </c>
      <c r="D23" s="145">
        <f>IF($AA23=0,"",IF($B23&gt;0,SUMIFS(calc_w_m0,calc_state,$A23,calc_bu,$AA$4)/$B23,SUMIFS(lr_m0,lr_state,$A23,lr_bu,$AA$4)/$AA23))</f>
        <v/>
      </c>
      <c r="E23" s="145">
        <f>IF($AA23=0,"",IF($B23&gt;0,SUMIFS(calc_w_m1,calc_state,$A23,calc_bu,$AA$4)/$B23,SUMIFS(lr_m1,lr_state,$A23,lr_bu,$AA$4)/$AA23))</f>
        <v/>
      </c>
      <c r="F23" s="146">
        <f>IF($AB23="","",IF(COUNTIFS(rl_key,$AB23,rl_seq,1)=0,"",SUMIFS(rl_eff,rl_key,$AB23,rl_seq,1)))</f>
        <v/>
      </c>
      <c r="G23" s="147">
        <f>IF($AB23="","",IF(COUNTIFS(rl_key,$AB23,rl_seq,1)=0,"",SUMIFS(rl_reff,rl_key,$AB23,rl_seq,1)))</f>
        <v/>
      </c>
      <c r="H23" s="148">
        <f>IF($AB23="","",IF(COUNTIFS(rl_key,$AB23,rl_seq,2)=0,"",SUMIFS(rl_eff,rl_key,$AB23,rl_seq,2)))</f>
        <v/>
      </c>
      <c r="I23" s="147">
        <f>IF($AB23="","",IF(COUNTIFS(rl_key,$AB23,rl_seq,2)=0,"",SUMIFS(rl_reff,rl_key,$AB23,rl_seq,2)))</f>
        <v/>
      </c>
      <c r="J23" s="148">
        <f>IF($AB23="","",IF(COUNTIFS(rl_key,$AB23,rl_seq,3)=0,"",SUMIFS(rl_eff,rl_key,$AB23,rl_seq,3)))</f>
        <v/>
      </c>
      <c r="K23" s="147">
        <f>IF($AB23="","",IF(COUNTIFS(rl_key,$AB23,rl_seq,3)=0,"",SUMIFS(rl_reff,rl_key,$AB23,rl_seq,3)))</f>
        <v/>
      </c>
      <c r="L23" s="148">
        <f>IF($AB23="","",IF(COUNTIFS(rl_key,$AB23,rl_seq,4)=0,"",SUMIFS(rl_eff,rl_key,$AB23,rl_seq,4)))</f>
        <v/>
      </c>
      <c r="M23" s="147">
        <f>IF($AB23="","",IF(COUNTIFS(rl_key,$AB23,rl_seq,4)=0,"",SUMIFS(rl_reff,rl_key,$AB23,rl_seq,4)))</f>
        <v/>
      </c>
      <c r="N23" s="149">
        <f>IF($AA23=0,"",IF($AB23="",COUNTIFS(rl_state,$A23,rl_eff,"&lt;&gt;"),COUNTIFS(rl_key,$AB23,rl_eff,"&lt;&gt;")))</f>
        <v/>
      </c>
      <c r="O23" s="150">
        <f>IF($AA23=0,"",IF($B23&gt;0,SUMIFS(calc_w_crl,calc_state,$A23,calc_bu,$AA$4)/$B23,SUMIFS(calc_crl,calc_state,$A23,calc_bu,$AA$4)/$AA23))</f>
        <v/>
      </c>
      <c r="P23" s="151">
        <f>IF($AA23=0,"",IF($B23&gt;0,SUMIFS(calc_w_ecy,calc_state,$A23,calc_bu,$AA$4)/$B23,SUMIFS(calc_ecy_p,calc_state,$A23,calc_bu,$AA$4)/$AA23))</f>
        <v/>
      </c>
      <c r="Q23" s="151">
        <f>IF($AA23=0,"",IF($B23&gt;0,SUMIFS(calc_w_arate,calc_state,$A23,calc_bu,$AA$4)/$B23,SUMIFS(calc_arate_p,calc_state,$A23,calc_bu,$AA$4)/$AA23))</f>
        <v/>
      </c>
      <c r="R23" s="145">
        <f>IF($AA23=0,"",IF($B23&gt;0,SUMIFS(calc_w_mbar,calc_state,$A23,calc_bu,$AA$4)/$B23,SUMIFS(calc_mbar_p,calc_state,$A23,calc_bu,$AA$4)/$AA23))</f>
        <v/>
      </c>
      <c r="S23" s="151">
        <f>IF($AA23=0,"",IF($B23&gt;0,SUMIFS(calc_w_amod,calc_state,$A23,calc_bu,$AA$4)/$B23,SUMIFS(calc_amod_p,calc_state,$A23,calc_bu,$AA$4)/$AA23))</f>
        <v/>
      </c>
      <c r="T23" s="152">
        <f>IF($AA23=0,"",IF($B23&gt;0,SUMIFS(calc_w_lrcur,calc_state,$A23,calc_bu,$AA$4)/$B23,SUMIFS(calc_lrcur,calc_state,$A23,calc_bu,$AA$4)/$AA23))</f>
        <v/>
      </c>
      <c r="U23" s="153">
        <f>IF($AA23=0,"",IF($B23&gt;0,SUMIFS(calc_w_cylr,calc_state,$A23,calc_bu,$AA$4)/$B23,SUMIFS(calc_cylr_p,calc_state,$A23,calc_bu,$AA$4)/$AA23))</f>
        <v/>
      </c>
      <c r="V23" s="154">
        <f>IF($AA23=0,"",IF($B23&gt;0,SUMIFS(calc_w_trend,calc_state,$A23,calc_bu,$AA$4)/$B23,SUMIFS(calc_trend,calc_state,$A23,calc_bu,$AA$4)/$AA23))</f>
        <v/>
      </c>
      <c r="W23" s="151">
        <f>IF($AA23=0,"",IF($B23&gt;0,SUMIFS(calc_w_arate1,calc_state,$A23,calc_bu,$AA$4)/$B23,SUMIFS(calc_arate_p1,calc_state,$A23,calc_bu,$AA$4)/$AA23))</f>
        <v/>
      </c>
      <c r="X23" s="151">
        <f>IF($AA23=0,"",IF($B23&gt;0,SUMIFS(calc_w_amod1,calc_state,$A23,calc_bu,$AA$4)/$B23,SUMIFS(calc_amod_p1,calc_state,$A23,calc_bu,$AA$4)/$AA23))</f>
        <v/>
      </c>
      <c r="Y23" s="153">
        <f>IF($AA23=0,"",IF($B23&gt;0,SUMIFS(calc_w_cylr1,calc_state,$A23,calc_bu,$AA$4)/$B23,SUMIFS(calc_cylr_p1,calc_state,$A23,calc_bu,$AA$4)/$AA23))</f>
        <v/>
      </c>
      <c r="Z23" s="154">
        <f>IF($AA23=0,"",IF($AC23=0,"—",SUMIFS(calc_netx,calc_state,$A23,calc_bu,$AA$4)/$AC23))</f>
        <v/>
      </c>
      <c r="AA23" s="75">
        <f>COUNTIFS(calc_state,$A23,calc_bu,$AA$4)</f>
        <v/>
      </c>
      <c r="AB23" s="113">
        <f>IF($B$4="All","",$B$4&amp;"|"&amp;$A23)</f>
        <v/>
      </c>
      <c r="AC23" s="75">
        <f>SUMIFS(calc_netmode,calc_state,$A23,calc_bu,$AA$4)</f>
        <v/>
      </c>
    </row>
    <row r="24">
      <c r="A24" s="129">
        <f>_lists!$B$19</f>
        <v/>
      </c>
      <c r="B24" s="130">
        <f>IF($AA24=0,"",SUMIFS(calc_ep,calc_state,$A24,calc_bu,$AA$4))</f>
        <v/>
      </c>
      <c r="C24" s="131">
        <f>IF($AA24=0,"",IF($B24&gt;0,SUMIFS(calc_w_mind,calc_state,$A24,calc_bu,$AA$4)/$B24,SUMIFS(lr_mind,lr_state,$A24,lr_bu,$AA$4)/$AA24))</f>
        <v/>
      </c>
      <c r="D24" s="132">
        <f>IF($AA24=0,"",IF($B24&gt;0,SUMIFS(calc_w_m0,calc_state,$A24,calc_bu,$AA$4)/$B24,SUMIFS(lr_m0,lr_state,$A24,lr_bu,$AA$4)/$AA24))</f>
        <v/>
      </c>
      <c r="E24" s="132">
        <f>IF($AA24=0,"",IF($B24&gt;0,SUMIFS(calc_w_m1,calc_state,$A24,calc_bu,$AA$4)/$B24,SUMIFS(lr_m1,lr_state,$A24,lr_bu,$AA$4)/$AA24))</f>
        <v/>
      </c>
      <c r="F24" s="133">
        <f>IF($AB24="","",IF(COUNTIFS(rl_key,$AB24,rl_seq,1)=0,"",SUMIFS(rl_eff,rl_key,$AB24,rl_seq,1)))</f>
        <v/>
      </c>
      <c r="G24" s="134">
        <f>IF($AB24="","",IF(COUNTIFS(rl_key,$AB24,rl_seq,1)=0,"",SUMIFS(rl_reff,rl_key,$AB24,rl_seq,1)))</f>
        <v/>
      </c>
      <c r="H24" s="135">
        <f>IF($AB24="","",IF(COUNTIFS(rl_key,$AB24,rl_seq,2)=0,"",SUMIFS(rl_eff,rl_key,$AB24,rl_seq,2)))</f>
        <v/>
      </c>
      <c r="I24" s="134">
        <f>IF($AB24="","",IF(COUNTIFS(rl_key,$AB24,rl_seq,2)=0,"",SUMIFS(rl_reff,rl_key,$AB24,rl_seq,2)))</f>
        <v/>
      </c>
      <c r="J24" s="135">
        <f>IF($AB24="","",IF(COUNTIFS(rl_key,$AB24,rl_seq,3)=0,"",SUMIFS(rl_eff,rl_key,$AB24,rl_seq,3)))</f>
        <v/>
      </c>
      <c r="K24" s="134">
        <f>IF($AB24="","",IF(COUNTIFS(rl_key,$AB24,rl_seq,3)=0,"",SUMIFS(rl_reff,rl_key,$AB24,rl_seq,3)))</f>
        <v/>
      </c>
      <c r="L24" s="135">
        <f>IF($AB24="","",IF(COUNTIFS(rl_key,$AB24,rl_seq,4)=0,"",SUMIFS(rl_eff,rl_key,$AB24,rl_seq,4)))</f>
        <v/>
      </c>
      <c r="M24" s="134">
        <f>IF($AB24="","",IF(COUNTIFS(rl_key,$AB24,rl_seq,4)=0,"",SUMIFS(rl_reff,rl_key,$AB24,rl_seq,4)))</f>
        <v/>
      </c>
      <c r="N24" s="136">
        <f>IF($AA24=0,"",IF($AB24="",COUNTIFS(rl_state,$A24,rl_eff,"&lt;&gt;"),COUNTIFS(rl_key,$AB24,rl_eff,"&lt;&gt;")))</f>
        <v/>
      </c>
      <c r="O24" s="137">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32">
        <f>IF($AA24=0,"",IF($B24&gt;0,SUMIFS(calc_w_mbar,calc_state,$A24,calc_bu,$AA$4)/$B24,SUMIFS(calc_mbar_p,calc_state,$A24,calc_bu,$AA$4)/$AA24))</f>
        <v/>
      </c>
      <c r="S24" s="138">
        <f>IF($AA24=0,"",IF($B24&gt;0,SUMIFS(calc_w_amod,calc_state,$A24,calc_bu,$AA$4)/$B24,SUMIFS(calc_amod_p,calc_state,$A24,calc_bu,$AA$4)/$AA24))</f>
        <v/>
      </c>
      <c r="T24" s="139">
        <f>IF($AA24=0,"",IF($B24&gt;0,SUMIFS(calc_w_lrcur,calc_state,$A24,calc_bu,$AA$4)/$B24,SUMIFS(calc_lrcur,calc_state,$A24,calc_bu,$AA$4)/$AA24))</f>
        <v/>
      </c>
      <c r="U24" s="140">
        <f>IF($AA24=0,"",IF($B24&gt;0,SUMIFS(calc_w_cylr,calc_state,$A24,calc_bu,$AA$4)/$B24,SUMIFS(calc_cylr_p,calc_state,$A24,calc_bu,$AA$4)/$AA24))</f>
        <v/>
      </c>
      <c r="V24" s="141">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40">
        <f>IF($AA24=0,"",IF($B24&gt;0,SUMIFS(calc_w_cylr1,calc_state,$A24,calc_bu,$AA$4)/$B24,SUMIFS(calc_cylr_p1,calc_state,$A24,calc_bu,$AA$4)/$AA24))</f>
        <v/>
      </c>
      <c r="Z24" s="141">
        <f>IF($AA24=0,"",IF($AC24=0,"—",SUMIFS(calc_netx,calc_state,$A24,calc_bu,$AA$4)/$AC24))</f>
        <v/>
      </c>
      <c r="AA24" s="75">
        <f>COUNTIFS(calc_state,$A24,calc_bu,$AA$4)</f>
        <v/>
      </c>
      <c r="AB24" s="113">
        <f>IF($B$4="All","",$B$4&amp;"|"&amp;$A24)</f>
        <v/>
      </c>
      <c r="AC24" s="75">
        <f>SUMIFS(calc_netmode,calc_state,$A24,calc_bu,$AA$4)</f>
        <v/>
      </c>
    </row>
    <row r="25">
      <c r="A25" s="142">
        <f>_lists!$B$20</f>
        <v/>
      </c>
      <c r="B25" s="143">
        <f>IF($AA25=0,"",SUMIFS(calc_ep,calc_state,$A25,calc_bu,$AA$4))</f>
        <v/>
      </c>
      <c r="C25" s="144">
        <f>IF($AA25=0,"",IF($B25&gt;0,SUMIFS(calc_w_mind,calc_state,$A25,calc_bu,$AA$4)/$B25,SUMIFS(lr_mind,lr_state,$A25,lr_bu,$AA$4)/$AA25))</f>
        <v/>
      </c>
      <c r="D25" s="145">
        <f>IF($AA25=0,"",IF($B25&gt;0,SUMIFS(calc_w_m0,calc_state,$A25,calc_bu,$AA$4)/$B25,SUMIFS(lr_m0,lr_state,$A25,lr_bu,$AA$4)/$AA25))</f>
        <v/>
      </c>
      <c r="E25" s="145">
        <f>IF($AA25=0,"",IF($B25&gt;0,SUMIFS(calc_w_m1,calc_state,$A25,calc_bu,$AA$4)/$B25,SUMIFS(lr_m1,lr_state,$A25,lr_bu,$AA$4)/$AA25))</f>
        <v/>
      </c>
      <c r="F25" s="146">
        <f>IF($AB25="","",IF(COUNTIFS(rl_key,$AB25,rl_seq,1)=0,"",SUMIFS(rl_eff,rl_key,$AB25,rl_seq,1)))</f>
        <v/>
      </c>
      <c r="G25" s="147">
        <f>IF($AB25="","",IF(COUNTIFS(rl_key,$AB25,rl_seq,1)=0,"",SUMIFS(rl_reff,rl_key,$AB25,rl_seq,1)))</f>
        <v/>
      </c>
      <c r="H25" s="148">
        <f>IF($AB25="","",IF(COUNTIFS(rl_key,$AB25,rl_seq,2)=0,"",SUMIFS(rl_eff,rl_key,$AB25,rl_seq,2)))</f>
        <v/>
      </c>
      <c r="I25" s="147">
        <f>IF($AB25="","",IF(COUNTIFS(rl_key,$AB25,rl_seq,2)=0,"",SUMIFS(rl_reff,rl_key,$AB25,rl_seq,2)))</f>
        <v/>
      </c>
      <c r="J25" s="148">
        <f>IF($AB25="","",IF(COUNTIFS(rl_key,$AB25,rl_seq,3)=0,"",SUMIFS(rl_eff,rl_key,$AB25,rl_seq,3)))</f>
        <v/>
      </c>
      <c r="K25" s="147">
        <f>IF($AB25="","",IF(COUNTIFS(rl_key,$AB25,rl_seq,3)=0,"",SUMIFS(rl_reff,rl_key,$AB25,rl_seq,3)))</f>
        <v/>
      </c>
      <c r="L25" s="148">
        <f>IF($AB25="","",IF(COUNTIFS(rl_key,$AB25,rl_seq,4)=0,"",SUMIFS(rl_eff,rl_key,$AB25,rl_seq,4)))</f>
        <v/>
      </c>
      <c r="M25" s="147">
        <f>IF($AB25="","",IF(COUNTIFS(rl_key,$AB25,rl_seq,4)=0,"",SUMIFS(rl_reff,rl_key,$AB25,rl_seq,4)))</f>
        <v/>
      </c>
      <c r="N25" s="149">
        <f>IF($AA25=0,"",IF($AB25="",COUNTIFS(rl_state,$A25,rl_eff,"&lt;&gt;"),COUNTIFS(rl_key,$AB25,rl_eff,"&lt;&gt;")))</f>
        <v/>
      </c>
      <c r="O25" s="150">
        <f>IF($AA25=0,"",IF($B25&gt;0,SUMIFS(calc_w_crl,calc_state,$A25,calc_bu,$AA$4)/$B25,SUMIFS(calc_crl,calc_state,$A25,calc_bu,$AA$4)/$AA25))</f>
        <v/>
      </c>
      <c r="P25" s="151">
        <f>IF($AA25=0,"",IF($B25&gt;0,SUMIFS(calc_w_ecy,calc_state,$A25,calc_bu,$AA$4)/$B25,SUMIFS(calc_ecy_p,calc_state,$A25,calc_bu,$AA$4)/$AA25))</f>
        <v/>
      </c>
      <c r="Q25" s="151">
        <f>IF($AA25=0,"",IF($B25&gt;0,SUMIFS(calc_w_arate,calc_state,$A25,calc_bu,$AA$4)/$B25,SUMIFS(calc_arate_p,calc_state,$A25,calc_bu,$AA$4)/$AA25))</f>
        <v/>
      </c>
      <c r="R25" s="145">
        <f>IF($AA25=0,"",IF($B25&gt;0,SUMIFS(calc_w_mbar,calc_state,$A25,calc_bu,$AA$4)/$B25,SUMIFS(calc_mbar_p,calc_state,$A25,calc_bu,$AA$4)/$AA25))</f>
        <v/>
      </c>
      <c r="S25" s="151">
        <f>IF($AA25=0,"",IF($B25&gt;0,SUMIFS(calc_w_amod,calc_state,$A25,calc_bu,$AA$4)/$B25,SUMIFS(calc_amod_p,calc_state,$A25,calc_bu,$AA$4)/$AA25))</f>
        <v/>
      </c>
      <c r="T25" s="152">
        <f>IF($AA25=0,"",IF($B25&gt;0,SUMIFS(calc_w_lrcur,calc_state,$A25,calc_bu,$AA$4)/$B25,SUMIFS(calc_lrcur,calc_state,$A25,calc_bu,$AA$4)/$AA25))</f>
        <v/>
      </c>
      <c r="U25" s="153">
        <f>IF($AA25=0,"",IF($B25&gt;0,SUMIFS(calc_w_cylr,calc_state,$A25,calc_bu,$AA$4)/$B25,SUMIFS(calc_cylr_p,calc_state,$A25,calc_bu,$AA$4)/$AA25))</f>
        <v/>
      </c>
      <c r="V25" s="154">
        <f>IF($AA25=0,"",IF($B25&gt;0,SUMIFS(calc_w_trend,calc_state,$A25,calc_bu,$AA$4)/$B25,SUMIFS(calc_trend,calc_state,$A25,calc_bu,$AA$4)/$AA25))</f>
        <v/>
      </c>
      <c r="W25" s="151">
        <f>IF($AA25=0,"",IF($B25&gt;0,SUMIFS(calc_w_arate1,calc_state,$A25,calc_bu,$AA$4)/$B25,SUMIFS(calc_arate_p1,calc_state,$A25,calc_bu,$AA$4)/$AA25))</f>
        <v/>
      </c>
      <c r="X25" s="151">
        <f>IF($AA25=0,"",IF($B25&gt;0,SUMIFS(calc_w_amod1,calc_state,$A25,calc_bu,$AA$4)/$B25,SUMIFS(calc_amod_p1,calc_state,$A25,calc_bu,$AA$4)/$AA25))</f>
        <v/>
      </c>
      <c r="Y25" s="153">
        <f>IF($AA25=0,"",IF($B25&gt;0,SUMIFS(calc_w_cylr1,calc_state,$A25,calc_bu,$AA$4)/$B25,SUMIFS(calc_cylr_p1,calc_state,$A25,calc_bu,$AA$4)/$AA25))</f>
        <v/>
      </c>
      <c r="Z25" s="154">
        <f>IF($AA25=0,"",IF($AC25=0,"—",SUMIFS(calc_netx,calc_state,$A25,calc_bu,$AA$4)/$AC25))</f>
        <v/>
      </c>
      <c r="AA25" s="75">
        <f>COUNTIFS(calc_state,$A25,calc_bu,$AA$4)</f>
        <v/>
      </c>
      <c r="AB25" s="113">
        <f>IF($B$4="All","",$B$4&amp;"|"&amp;$A25)</f>
        <v/>
      </c>
      <c r="AC25" s="75">
        <f>SUMIFS(calc_netmode,calc_state,$A25,calc_bu,$AA$4)</f>
        <v/>
      </c>
    </row>
    <row r="26">
      <c r="A26" s="129">
        <f>_lists!$B$21</f>
        <v/>
      </c>
      <c r="B26" s="130">
        <f>IF($AA26=0,"",SUMIFS(calc_ep,calc_state,$A26,calc_bu,$AA$4))</f>
        <v/>
      </c>
      <c r="C26" s="131">
        <f>IF($AA26=0,"",IF($B26&gt;0,SUMIFS(calc_w_mind,calc_state,$A26,calc_bu,$AA$4)/$B26,SUMIFS(lr_mind,lr_state,$A26,lr_bu,$AA$4)/$AA26))</f>
        <v/>
      </c>
      <c r="D26" s="132">
        <f>IF($AA26=0,"",IF($B26&gt;0,SUMIFS(calc_w_m0,calc_state,$A26,calc_bu,$AA$4)/$B26,SUMIFS(lr_m0,lr_state,$A26,lr_bu,$AA$4)/$AA26))</f>
        <v/>
      </c>
      <c r="E26" s="132">
        <f>IF($AA26=0,"",IF($B26&gt;0,SUMIFS(calc_w_m1,calc_state,$A26,calc_bu,$AA$4)/$B26,SUMIFS(lr_m1,lr_state,$A26,lr_bu,$AA$4)/$AA26))</f>
        <v/>
      </c>
      <c r="F26" s="133">
        <f>IF($AB26="","",IF(COUNTIFS(rl_key,$AB26,rl_seq,1)=0,"",SUMIFS(rl_eff,rl_key,$AB26,rl_seq,1)))</f>
        <v/>
      </c>
      <c r="G26" s="134">
        <f>IF($AB26="","",IF(COUNTIFS(rl_key,$AB26,rl_seq,1)=0,"",SUMIFS(rl_reff,rl_key,$AB26,rl_seq,1)))</f>
        <v/>
      </c>
      <c r="H26" s="135">
        <f>IF($AB26="","",IF(COUNTIFS(rl_key,$AB26,rl_seq,2)=0,"",SUMIFS(rl_eff,rl_key,$AB26,rl_seq,2)))</f>
        <v/>
      </c>
      <c r="I26" s="134">
        <f>IF($AB26="","",IF(COUNTIFS(rl_key,$AB26,rl_seq,2)=0,"",SUMIFS(rl_reff,rl_key,$AB26,rl_seq,2)))</f>
        <v/>
      </c>
      <c r="J26" s="135">
        <f>IF($AB26="","",IF(COUNTIFS(rl_key,$AB26,rl_seq,3)=0,"",SUMIFS(rl_eff,rl_key,$AB26,rl_seq,3)))</f>
        <v/>
      </c>
      <c r="K26" s="134">
        <f>IF($AB26="","",IF(COUNTIFS(rl_key,$AB26,rl_seq,3)=0,"",SUMIFS(rl_reff,rl_key,$AB26,rl_seq,3)))</f>
        <v/>
      </c>
      <c r="L26" s="135">
        <f>IF($AB26="","",IF(COUNTIFS(rl_key,$AB26,rl_seq,4)=0,"",SUMIFS(rl_eff,rl_key,$AB26,rl_seq,4)))</f>
        <v/>
      </c>
      <c r="M26" s="134">
        <f>IF($AB26="","",IF(COUNTIFS(rl_key,$AB26,rl_seq,4)=0,"",SUMIFS(rl_reff,rl_key,$AB26,rl_seq,4)))</f>
        <v/>
      </c>
      <c r="N26" s="136">
        <f>IF($AA26=0,"",IF($AB26="",COUNTIFS(rl_state,$A26,rl_eff,"&lt;&gt;"),COUNTIFS(rl_key,$AB26,rl_eff,"&lt;&gt;")))</f>
        <v/>
      </c>
      <c r="O26" s="137">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32">
        <f>IF($AA26=0,"",IF($B26&gt;0,SUMIFS(calc_w_mbar,calc_state,$A26,calc_bu,$AA$4)/$B26,SUMIFS(calc_mbar_p,calc_state,$A26,calc_bu,$AA$4)/$AA26))</f>
        <v/>
      </c>
      <c r="S26" s="138">
        <f>IF($AA26=0,"",IF($B26&gt;0,SUMIFS(calc_w_amod,calc_state,$A26,calc_bu,$AA$4)/$B26,SUMIFS(calc_amod_p,calc_state,$A26,calc_bu,$AA$4)/$AA26))</f>
        <v/>
      </c>
      <c r="T26" s="139">
        <f>IF($AA26=0,"",IF($B26&gt;0,SUMIFS(calc_w_lrcur,calc_state,$A26,calc_bu,$AA$4)/$B26,SUMIFS(calc_lrcur,calc_state,$A26,calc_bu,$AA$4)/$AA26))</f>
        <v/>
      </c>
      <c r="U26" s="140">
        <f>IF($AA26=0,"",IF($B26&gt;0,SUMIFS(calc_w_cylr,calc_state,$A26,calc_bu,$AA$4)/$B26,SUMIFS(calc_cylr_p,calc_state,$A26,calc_bu,$AA$4)/$AA26))</f>
        <v/>
      </c>
      <c r="V26" s="141">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40">
        <f>IF($AA26=0,"",IF($B26&gt;0,SUMIFS(calc_w_cylr1,calc_state,$A26,calc_bu,$AA$4)/$B26,SUMIFS(calc_cylr_p1,calc_state,$A26,calc_bu,$AA$4)/$AA26))</f>
        <v/>
      </c>
      <c r="Z26" s="141">
        <f>IF($AA26=0,"",IF($AC26=0,"—",SUMIFS(calc_netx,calc_state,$A26,calc_bu,$AA$4)/$AC26))</f>
        <v/>
      </c>
      <c r="AA26" s="75">
        <f>COUNTIFS(calc_state,$A26,calc_bu,$AA$4)</f>
        <v/>
      </c>
      <c r="AB26" s="113">
        <f>IF($B$4="All","",$B$4&amp;"|"&amp;$A26)</f>
        <v/>
      </c>
      <c r="AC26" s="75">
        <f>SUMIFS(calc_netmode,calc_state,$A26,calc_bu,$AA$4)</f>
        <v/>
      </c>
    </row>
    <row r="27">
      <c r="A27" s="142">
        <f>_lists!$B$22</f>
        <v/>
      </c>
      <c r="B27" s="143">
        <f>IF($AA27=0,"",SUMIFS(calc_ep,calc_state,$A27,calc_bu,$AA$4))</f>
        <v/>
      </c>
      <c r="C27" s="144">
        <f>IF($AA27=0,"",IF($B27&gt;0,SUMIFS(calc_w_mind,calc_state,$A27,calc_bu,$AA$4)/$B27,SUMIFS(lr_mind,lr_state,$A27,lr_bu,$AA$4)/$AA27))</f>
        <v/>
      </c>
      <c r="D27" s="145">
        <f>IF($AA27=0,"",IF($B27&gt;0,SUMIFS(calc_w_m0,calc_state,$A27,calc_bu,$AA$4)/$B27,SUMIFS(lr_m0,lr_state,$A27,lr_bu,$AA$4)/$AA27))</f>
        <v/>
      </c>
      <c r="E27" s="145">
        <f>IF($AA27=0,"",IF($B27&gt;0,SUMIFS(calc_w_m1,calc_state,$A27,calc_bu,$AA$4)/$B27,SUMIFS(lr_m1,lr_state,$A27,lr_bu,$AA$4)/$AA27))</f>
        <v/>
      </c>
      <c r="F27" s="146">
        <f>IF($AB27="","",IF(COUNTIFS(rl_key,$AB27,rl_seq,1)=0,"",SUMIFS(rl_eff,rl_key,$AB27,rl_seq,1)))</f>
        <v/>
      </c>
      <c r="G27" s="147">
        <f>IF($AB27="","",IF(COUNTIFS(rl_key,$AB27,rl_seq,1)=0,"",SUMIFS(rl_reff,rl_key,$AB27,rl_seq,1)))</f>
        <v/>
      </c>
      <c r="H27" s="148">
        <f>IF($AB27="","",IF(COUNTIFS(rl_key,$AB27,rl_seq,2)=0,"",SUMIFS(rl_eff,rl_key,$AB27,rl_seq,2)))</f>
        <v/>
      </c>
      <c r="I27" s="147">
        <f>IF($AB27="","",IF(COUNTIFS(rl_key,$AB27,rl_seq,2)=0,"",SUMIFS(rl_reff,rl_key,$AB27,rl_seq,2)))</f>
        <v/>
      </c>
      <c r="J27" s="148">
        <f>IF($AB27="","",IF(COUNTIFS(rl_key,$AB27,rl_seq,3)=0,"",SUMIFS(rl_eff,rl_key,$AB27,rl_seq,3)))</f>
        <v/>
      </c>
      <c r="K27" s="147">
        <f>IF($AB27="","",IF(COUNTIFS(rl_key,$AB27,rl_seq,3)=0,"",SUMIFS(rl_reff,rl_key,$AB27,rl_seq,3)))</f>
        <v/>
      </c>
      <c r="L27" s="148">
        <f>IF($AB27="","",IF(COUNTIFS(rl_key,$AB27,rl_seq,4)=0,"",SUMIFS(rl_eff,rl_key,$AB27,rl_seq,4)))</f>
        <v/>
      </c>
      <c r="M27" s="147">
        <f>IF($AB27="","",IF(COUNTIFS(rl_key,$AB27,rl_seq,4)=0,"",SUMIFS(rl_reff,rl_key,$AB27,rl_seq,4)))</f>
        <v/>
      </c>
      <c r="N27" s="149">
        <f>IF($AA27=0,"",IF($AB27="",COUNTIFS(rl_state,$A27,rl_eff,"&lt;&gt;"),COUNTIFS(rl_key,$AB27,rl_eff,"&lt;&gt;")))</f>
        <v/>
      </c>
      <c r="O27" s="150">
        <f>IF($AA27=0,"",IF($B27&gt;0,SUMIFS(calc_w_crl,calc_state,$A27,calc_bu,$AA$4)/$B27,SUMIFS(calc_crl,calc_state,$A27,calc_bu,$AA$4)/$AA27))</f>
        <v/>
      </c>
      <c r="P27" s="151">
        <f>IF($AA27=0,"",IF($B27&gt;0,SUMIFS(calc_w_ecy,calc_state,$A27,calc_bu,$AA$4)/$B27,SUMIFS(calc_ecy_p,calc_state,$A27,calc_bu,$AA$4)/$AA27))</f>
        <v/>
      </c>
      <c r="Q27" s="151">
        <f>IF($AA27=0,"",IF($B27&gt;0,SUMIFS(calc_w_arate,calc_state,$A27,calc_bu,$AA$4)/$B27,SUMIFS(calc_arate_p,calc_state,$A27,calc_bu,$AA$4)/$AA27))</f>
        <v/>
      </c>
      <c r="R27" s="145">
        <f>IF($AA27=0,"",IF($B27&gt;0,SUMIFS(calc_w_mbar,calc_state,$A27,calc_bu,$AA$4)/$B27,SUMIFS(calc_mbar_p,calc_state,$A27,calc_bu,$AA$4)/$AA27))</f>
        <v/>
      </c>
      <c r="S27" s="151">
        <f>IF($AA27=0,"",IF($B27&gt;0,SUMIFS(calc_w_amod,calc_state,$A27,calc_bu,$AA$4)/$B27,SUMIFS(calc_amod_p,calc_state,$A27,calc_bu,$AA$4)/$AA27))</f>
        <v/>
      </c>
      <c r="T27" s="152">
        <f>IF($AA27=0,"",IF($B27&gt;0,SUMIFS(calc_w_lrcur,calc_state,$A27,calc_bu,$AA$4)/$B27,SUMIFS(calc_lrcur,calc_state,$A27,calc_bu,$AA$4)/$AA27))</f>
        <v/>
      </c>
      <c r="U27" s="153">
        <f>IF($AA27=0,"",IF($B27&gt;0,SUMIFS(calc_w_cylr,calc_state,$A27,calc_bu,$AA$4)/$B27,SUMIFS(calc_cylr_p,calc_state,$A27,calc_bu,$AA$4)/$AA27))</f>
        <v/>
      </c>
      <c r="V27" s="154">
        <f>IF($AA27=0,"",IF($B27&gt;0,SUMIFS(calc_w_trend,calc_state,$A27,calc_bu,$AA$4)/$B27,SUMIFS(calc_trend,calc_state,$A27,calc_bu,$AA$4)/$AA27))</f>
        <v/>
      </c>
      <c r="W27" s="151">
        <f>IF($AA27=0,"",IF($B27&gt;0,SUMIFS(calc_w_arate1,calc_state,$A27,calc_bu,$AA$4)/$B27,SUMIFS(calc_arate_p1,calc_state,$A27,calc_bu,$AA$4)/$AA27))</f>
        <v/>
      </c>
      <c r="X27" s="151">
        <f>IF($AA27=0,"",IF($B27&gt;0,SUMIFS(calc_w_amod1,calc_state,$A27,calc_bu,$AA$4)/$B27,SUMIFS(calc_amod_p1,calc_state,$A27,calc_bu,$AA$4)/$AA27))</f>
        <v/>
      </c>
      <c r="Y27" s="153">
        <f>IF($AA27=0,"",IF($B27&gt;0,SUMIFS(calc_w_cylr1,calc_state,$A27,calc_bu,$AA$4)/$B27,SUMIFS(calc_cylr_p1,calc_state,$A27,calc_bu,$AA$4)/$AA27))</f>
        <v/>
      </c>
      <c r="Z27" s="154">
        <f>IF($AA27=0,"",IF($AC27=0,"—",SUMIFS(calc_netx,calc_state,$A27,calc_bu,$AA$4)/$AC27))</f>
        <v/>
      </c>
      <c r="AA27" s="75">
        <f>COUNTIFS(calc_state,$A27,calc_bu,$AA$4)</f>
        <v/>
      </c>
      <c r="AB27" s="113">
        <f>IF($B$4="All","",$B$4&amp;"|"&amp;$A27)</f>
        <v/>
      </c>
      <c r="AC27" s="75">
        <f>SUMIFS(calc_netmode,calc_state,$A27,calc_bu,$AA$4)</f>
        <v/>
      </c>
    </row>
    <row r="28">
      <c r="A28" s="129">
        <f>_lists!$B$23</f>
        <v/>
      </c>
      <c r="B28" s="130">
        <f>IF($AA28=0,"",SUMIFS(calc_ep,calc_state,$A28,calc_bu,$AA$4))</f>
        <v/>
      </c>
      <c r="C28" s="131">
        <f>IF($AA28=0,"",IF($B28&gt;0,SUMIFS(calc_w_mind,calc_state,$A28,calc_bu,$AA$4)/$B28,SUMIFS(lr_mind,lr_state,$A28,lr_bu,$AA$4)/$AA28))</f>
        <v/>
      </c>
      <c r="D28" s="132">
        <f>IF($AA28=0,"",IF($B28&gt;0,SUMIFS(calc_w_m0,calc_state,$A28,calc_bu,$AA$4)/$B28,SUMIFS(lr_m0,lr_state,$A28,lr_bu,$AA$4)/$AA28))</f>
        <v/>
      </c>
      <c r="E28" s="132">
        <f>IF($AA28=0,"",IF($B28&gt;0,SUMIFS(calc_w_m1,calc_state,$A28,calc_bu,$AA$4)/$B28,SUMIFS(lr_m1,lr_state,$A28,lr_bu,$AA$4)/$AA28))</f>
        <v/>
      </c>
      <c r="F28" s="133">
        <f>IF($AB28="","",IF(COUNTIFS(rl_key,$AB28,rl_seq,1)=0,"",SUMIFS(rl_eff,rl_key,$AB28,rl_seq,1)))</f>
        <v/>
      </c>
      <c r="G28" s="134">
        <f>IF($AB28="","",IF(COUNTIFS(rl_key,$AB28,rl_seq,1)=0,"",SUMIFS(rl_reff,rl_key,$AB28,rl_seq,1)))</f>
        <v/>
      </c>
      <c r="H28" s="135">
        <f>IF($AB28="","",IF(COUNTIFS(rl_key,$AB28,rl_seq,2)=0,"",SUMIFS(rl_eff,rl_key,$AB28,rl_seq,2)))</f>
        <v/>
      </c>
      <c r="I28" s="134">
        <f>IF($AB28="","",IF(COUNTIFS(rl_key,$AB28,rl_seq,2)=0,"",SUMIFS(rl_reff,rl_key,$AB28,rl_seq,2)))</f>
        <v/>
      </c>
      <c r="J28" s="135">
        <f>IF($AB28="","",IF(COUNTIFS(rl_key,$AB28,rl_seq,3)=0,"",SUMIFS(rl_eff,rl_key,$AB28,rl_seq,3)))</f>
        <v/>
      </c>
      <c r="K28" s="134">
        <f>IF($AB28="","",IF(COUNTIFS(rl_key,$AB28,rl_seq,3)=0,"",SUMIFS(rl_reff,rl_key,$AB28,rl_seq,3)))</f>
        <v/>
      </c>
      <c r="L28" s="135">
        <f>IF($AB28="","",IF(COUNTIFS(rl_key,$AB28,rl_seq,4)=0,"",SUMIFS(rl_eff,rl_key,$AB28,rl_seq,4)))</f>
        <v/>
      </c>
      <c r="M28" s="134">
        <f>IF($AB28="","",IF(COUNTIFS(rl_key,$AB28,rl_seq,4)=0,"",SUMIFS(rl_reff,rl_key,$AB28,rl_seq,4)))</f>
        <v/>
      </c>
      <c r="N28" s="136">
        <f>IF($AA28=0,"",IF($AB28="",COUNTIFS(rl_state,$A28,rl_eff,"&lt;&gt;"),COUNTIFS(rl_key,$AB28,rl_eff,"&lt;&gt;")))</f>
        <v/>
      </c>
      <c r="O28" s="137">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32">
        <f>IF($AA28=0,"",IF($B28&gt;0,SUMIFS(calc_w_mbar,calc_state,$A28,calc_bu,$AA$4)/$B28,SUMIFS(calc_mbar_p,calc_state,$A28,calc_bu,$AA$4)/$AA28))</f>
        <v/>
      </c>
      <c r="S28" s="138">
        <f>IF($AA28=0,"",IF($B28&gt;0,SUMIFS(calc_w_amod,calc_state,$A28,calc_bu,$AA$4)/$B28,SUMIFS(calc_amod_p,calc_state,$A28,calc_bu,$AA$4)/$AA28))</f>
        <v/>
      </c>
      <c r="T28" s="139">
        <f>IF($AA28=0,"",IF($B28&gt;0,SUMIFS(calc_w_lrcur,calc_state,$A28,calc_bu,$AA$4)/$B28,SUMIFS(calc_lrcur,calc_state,$A28,calc_bu,$AA$4)/$AA28))</f>
        <v/>
      </c>
      <c r="U28" s="140">
        <f>IF($AA28=0,"",IF($B28&gt;0,SUMIFS(calc_w_cylr,calc_state,$A28,calc_bu,$AA$4)/$B28,SUMIFS(calc_cylr_p,calc_state,$A28,calc_bu,$AA$4)/$AA28))</f>
        <v/>
      </c>
      <c r="V28" s="141">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40">
        <f>IF($AA28=0,"",IF($B28&gt;0,SUMIFS(calc_w_cylr1,calc_state,$A28,calc_bu,$AA$4)/$B28,SUMIFS(calc_cylr_p1,calc_state,$A28,calc_bu,$AA$4)/$AA28))</f>
        <v/>
      </c>
      <c r="Z28" s="141">
        <f>IF($AA28=0,"",IF($AC28=0,"—",SUMIFS(calc_netx,calc_state,$A28,calc_bu,$AA$4)/$AC28))</f>
        <v/>
      </c>
      <c r="AA28" s="75">
        <f>COUNTIFS(calc_state,$A28,calc_bu,$AA$4)</f>
        <v/>
      </c>
      <c r="AB28" s="113">
        <f>IF($B$4="All","",$B$4&amp;"|"&amp;$A28)</f>
        <v/>
      </c>
      <c r="AC28" s="75">
        <f>SUMIFS(calc_netmode,calc_state,$A28,calc_bu,$AA$4)</f>
        <v/>
      </c>
    </row>
    <row r="29">
      <c r="A29" s="142">
        <f>_lists!$B$24</f>
        <v/>
      </c>
      <c r="B29" s="143">
        <f>IF($AA29=0,"",SUMIFS(calc_ep,calc_state,$A29,calc_bu,$AA$4))</f>
        <v/>
      </c>
      <c r="C29" s="144">
        <f>IF($AA29=0,"",IF($B29&gt;0,SUMIFS(calc_w_mind,calc_state,$A29,calc_bu,$AA$4)/$B29,SUMIFS(lr_mind,lr_state,$A29,lr_bu,$AA$4)/$AA29))</f>
        <v/>
      </c>
      <c r="D29" s="145">
        <f>IF($AA29=0,"",IF($B29&gt;0,SUMIFS(calc_w_m0,calc_state,$A29,calc_bu,$AA$4)/$B29,SUMIFS(lr_m0,lr_state,$A29,lr_bu,$AA$4)/$AA29))</f>
        <v/>
      </c>
      <c r="E29" s="145">
        <f>IF($AA29=0,"",IF($B29&gt;0,SUMIFS(calc_w_m1,calc_state,$A29,calc_bu,$AA$4)/$B29,SUMIFS(lr_m1,lr_state,$A29,lr_bu,$AA$4)/$AA29))</f>
        <v/>
      </c>
      <c r="F29" s="146">
        <f>IF($AB29="","",IF(COUNTIFS(rl_key,$AB29,rl_seq,1)=0,"",SUMIFS(rl_eff,rl_key,$AB29,rl_seq,1)))</f>
        <v/>
      </c>
      <c r="G29" s="147">
        <f>IF($AB29="","",IF(COUNTIFS(rl_key,$AB29,rl_seq,1)=0,"",SUMIFS(rl_reff,rl_key,$AB29,rl_seq,1)))</f>
        <v/>
      </c>
      <c r="H29" s="148">
        <f>IF($AB29="","",IF(COUNTIFS(rl_key,$AB29,rl_seq,2)=0,"",SUMIFS(rl_eff,rl_key,$AB29,rl_seq,2)))</f>
        <v/>
      </c>
      <c r="I29" s="147">
        <f>IF($AB29="","",IF(COUNTIFS(rl_key,$AB29,rl_seq,2)=0,"",SUMIFS(rl_reff,rl_key,$AB29,rl_seq,2)))</f>
        <v/>
      </c>
      <c r="J29" s="148">
        <f>IF($AB29="","",IF(COUNTIFS(rl_key,$AB29,rl_seq,3)=0,"",SUMIFS(rl_eff,rl_key,$AB29,rl_seq,3)))</f>
        <v/>
      </c>
      <c r="K29" s="147">
        <f>IF($AB29="","",IF(COUNTIFS(rl_key,$AB29,rl_seq,3)=0,"",SUMIFS(rl_reff,rl_key,$AB29,rl_seq,3)))</f>
        <v/>
      </c>
      <c r="L29" s="148">
        <f>IF($AB29="","",IF(COUNTIFS(rl_key,$AB29,rl_seq,4)=0,"",SUMIFS(rl_eff,rl_key,$AB29,rl_seq,4)))</f>
        <v/>
      </c>
      <c r="M29" s="147">
        <f>IF($AB29="","",IF(COUNTIFS(rl_key,$AB29,rl_seq,4)=0,"",SUMIFS(rl_reff,rl_key,$AB29,rl_seq,4)))</f>
        <v/>
      </c>
      <c r="N29" s="149">
        <f>IF($AA29=0,"",IF($AB29="",COUNTIFS(rl_state,$A29,rl_eff,"&lt;&gt;"),COUNTIFS(rl_key,$AB29,rl_eff,"&lt;&gt;")))</f>
        <v/>
      </c>
      <c r="O29" s="150">
        <f>IF($AA29=0,"",IF($B29&gt;0,SUMIFS(calc_w_crl,calc_state,$A29,calc_bu,$AA$4)/$B29,SUMIFS(calc_crl,calc_state,$A29,calc_bu,$AA$4)/$AA29))</f>
        <v/>
      </c>
      <c r="P29" s="151">
        <f>IF($AA29=0,"",IF($B29&gt;0,SUMIFS(calc_w_ecy,calc_state,$A29,calc_bu,$AA$4)/$B29,SUMIFS(calc_ecy_p,calc_state,$A29,calc_bu,$AA$4)/$AA29))</f>
        <v/>
      </c>
      <c r="Q29" s="151">
        <f>IF($AA29=0,"",IF($B29&gt;0,SUMIFS(calc_w_arate,calc_state,$A29,calc_bu,$AA$4)/$B29,SUMIFS(calc_arate_p,calc_state,$A29,calc_bu,$AA$4)/$AA29))</f>
        <v/>
      </c>
      <c r="R29" s="145">
        <f>IF($AA29=0,"",IF($B29&gt;0,SUMIFS(calc_w_mbar,calc_state,$A29,calc_bu,$AA$4)/$B29,SUMIFS(calc_mbar_p,calc_state,$A29,calc_bu,$AA$4)/$AA29))</f>
        <v/>
      </c>
      <c r="S29" s="151">
        <f>IF($AA29=0,"",IF($B29&gt;0,SUMIFS(calc_w_amod,calc_state,$A29,calc_bu,$AA$4)/$B29,SUMIFS(calc_amod_p,calc_state,$A29,calc_bu,$AA$4)/$AA29))</f>
        <v/>
      </c>
      <c r="T29" s="152">
        <f>IF($AA29=0,"",IF($B29&gt;0,SUMIFS(calc_w_lrcur,calc_state,$A29,calc_bu,$AA$4)/$B29,SUMIFS(calc_lrcur,calc_state,$A29,calc_bu,$AA$4)/$AA29))</f>
        <v/>
      </c>
      <c r="U29" s="153">
        <f>IF($AA29=0,"",IF($B29&gt;0,SUMIFS(calc_w_cylr,calc_state,$A29,calc_bu,$AA$4)/$B29,SUMIFS(calc_cylr_p,calc_state,$A29,calc_bu,$AA$4)/$AA29))</f>
        <v/>
      </c>
      <c r="V29" s="154">
        <f>IF($AA29=0,"",IF($B29&gt;0,SUMIFS(calc_w_trend,calc_state,$A29,calc_bu,$AA$4)/$B29,SUMIFS(calc_trend,calc_state,$A29,calc_bu,$AA$4)/$AA29))</f>
        <v/>
      </c>
      <c r="W29" s="151">
        <f>IF($AA29=0,"",IF($B29&gt;0,SUMIFS(calc_w_arate1,calc_state,$A29,calc_bu,$AA$4)/$B29,SUMIFS(calc_arate_p1,calc_state,$A29,calc_bu,$AA$4)/$AA29))</f>
        <v/>
      </c>
      <c r="X29" s="151">
        <f>IF($AA29=0,"",IF($B29&gt;0,SUMIFS(calc_w_amod1,calc_state,$A29,calc_bu,$AA$4)/$B29,SUMIFS(calc_amod_p1,calc_state,$A29,calc_bu,$AA$4)/$AA29))</f>
        <v/>
      </c>
      <c r="Y29" s="153">
        <f>IF($AA29=0,"",IF($B29&gt;0,SUMIFS(calc_w_cylr1,calc_state,$A29,calc_bu,$AA$4)/$B29,SUMIFS(calc_cylr_p1,calc_state,$A29,calc_bu,$AA$4)/$AA29))</f>
        <v/>
      </c>
      <c r="Z29" s="154">
        <f>IF($AA29=0,"",IF($AC29=0,"—",SUMIFS(calc_netx,calc_state,$A29,calc_bu,$AA$4)/$AC29))</f>
        <v/>
      </c>
      <c r="AA29" s="75">
        <f>COUNTIFS(calc_state,$A29,calc_bu,$AA$4)</f>
        <v/>
      </c>
      <c r="AB29" s="113">
        <f>IF($B$4="All","",$B$4&amp;"|"&amp;$A29)</f>
        <v/>
      </c>
      <c r="AC29" s="75">
        <f>SUMIFS(calc_netmode,calc_state,$A29,calc_bu,$AA$4)</f>
        <v/>
      </c>
    </row>
    <row r="30">
      <c r="A30" s="129">
        <f>_lists!$B$25</f>
        <v/>
      </c>
      <c r="B30" s="130">
        <f>IF($AA30=0,"",SUMIFS(calc_ep,calc_state,$A30,calc_bu,$AA$4))</f>
        <v/>
      </c>
      <c r="C30" s="131">
        <f>IF($AA30=0,"",IF($B30&gt;0,SUMIFS(calc_w_mind,calc_state,$A30,calc_bu,$AA$4)/$B30,SUMIFS(lr_mind,lr_state,$A30,lr_bu,$AA$4)/$AA30))</f>
        <v/>
      </c>
      <c r="D30" s="132">
        <f>IF($AA30=0,"",IF($B30&gt;0,SUMIFS(calc_w_m0,calc_state,$A30,calc_bu,$AA$4)/$B30,SUMIFS(lr_m0,lr_state,$A30,lr_bu,$AA$4)/$AA30))</f>
        <v/>
      </c>
      <c r="E30" s="132">
        <f>IF($AA30=0,"",IF($B30&gt;0,SUMIFS(calc_w_m1,calc_state,$A30,calc_bu,$AA$4)/$B30,SUMIFS(lr_m1,lr_state,$A30,lr_bu,$AA$4)/$AA30))</f>
        <v/>
      </c>
      <c r="F30" s="133">
        <f>IF($AB30="","",IF(COUNTIFS(rl_key,$AB30,rl_seq,1)=0,"",SUMIFS(rl_eff,rl_key,$AB30,rl_seq,1)))</f>
        <v/>
      </c>
      <c r="G30" s="134">
        <f>IF($AB30="","",IF(COUNTIFS(rl_key,$AB30,rl_seq,1)=0,"",SUMIFS(rl_reff,rl_key,$AB30,rl_seq,1)))</f>
        <v/>
      </c>
      <c r="H30" s="135">
        <f>IF($AB30="","",IF(COUNTIFS(rl_key,$AB30,rl_seq,2)=0,"",SUMIFS(rl_eff,rl_key,$AB30,rl_seq,2)))</f>
        <v/>
      </c>
      <c r="I30" s="134">
        <f>IF($AB30="","",IF(COUNTIFS(rl_key,$AB30,rl_seq,2)=0,"",SUMIFS(rl_reff,rl_key,$AB30,rl_seq,2)))</f>
        <v/>
      </c>
      <c r="J30" s="135">
        <f>IF($AB30="","",IF(COUNTIFS(rl_key,$AB30,rl_seq,3)=0,"",SUMIFS(rl_eff,rl_key,$AB30,rl_seq,3)))</f>
        <v/>
      </c>
      <c r="K30" s="134">
        <f>IF($AB30="","",IF(COUNTIFS(rl_key,$AB30,rl_seq,3)=0,"",SUMIFS(rl_reff,rl_key,$AB30,rl_seq,3)))</f>
        <v/>
      </c>
      <c r="L30" s="135">
        <f>IF($AB30="","",IF(COUNTIFS(rl_key,$AB30,rl_seq,4)=0,"",SUMIFS(rl_eff,rl_key,$AB30,rl_seq,4)))</f>
        <v/>
      </c>
      <c r="M30" s="134">
        <f>IF($AB30="","",IF(COUNTIFS(rl_key,$AB30,rl_seq,4)=0,"",SUMIFS(rl_reff,rl_key,$AB30,rl_seq,4)))</f>
        <v/>
      </c>
      <c r="N30" s="136">
        <f>IF($AA30=0,"",IF($AB30="",COUNTIFS(rl_state,$A30,rl_eff,"&lt;&gt;"),COUNTIFS(rl_key,$AB30,rl_eff,"&lt;&gt;")))</f>
        <v/>
      </c>
      <c r="O30" s="137">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32">
        <f>IF($AA30=0,"",IF($B30&gt;0,SUMIFS(calc_w_mbar,calc_state,$A30,calc_bu,$AA$4)/$B30,SUMIFS(calc_mbar_p,calc_state,$A30,calc_bu,$AA$4)/$AA30))</f>
        <v/>
      </c>
      <c r="S30" s="138">
        <f>IF($AA30=0,"",IF($B30&gt;0,SUMIFS(calc_w_amod,calc_state,$A30,calc_bu,$AA$4)/$B30,SUMIFS(calc_amod_p,calc_state,$A30,calc_bu,$AA$4)/$AA30))</f>
        <v/>
      </c>
      <c r="T30" s="139">
        <f>IF($AA30=0,"",IF($B30&gt;0,SUMIFS(calc_w_lrcur,calc_state,$A30,calc_bu,$AA$4)/$B30,SUMIFS(calc_lrcur,calc_state,$A30,calc_bu,$AA$4)/$AA30))</f>
        <v/>
      </c>
      <c r="U30" s="140">
        <f>IF($AA30=0,"",IF($B30&gt;0,SUMIFS(calc_w_cylr,calc_state,$A30,calc_bu,$AA$4)/$B30,SUMIFS(calc_cylr_p,calc_state,$A30,calc_bu,$AA$4)/$AA30))</f>
        <v/>
      </c>
      <c r="V30" s="141">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40">
        <f>IF($AA30=0,"",IF($B30&gt;0,SUMIFS(calc_w_cylr1,calc_state,$A30,calc_bu,$AA$4)/$B30,SUMIFS(calc_cylr_p1,calc_state,$A30,calc_bu,$AA$4)/$AA30))</f>
        <v/>
      </c>
      <c r="Z30" s="141">
        <f>IF($AA30=0,"",IF($AC30=0,"—",SUMIFS(calc_netx,calc_state,$A30,calc_bu,$AA$4)/$AC30))</f>
        <v/>
      </c>
      <c r="AA30" s="75">
        <f>COUNTIFS(calc_state,$A30,calc_bu,$AA$4)</f>
        <v/>
      </c>
      <c r="AB30" s="113">
        <f>IF($B$4="All","",$B$4&amp;"|"&amp;$A30)</f>
        <v/>
      </c>
      <c r="AC30" s="75">
        <f>SUMIFS(calc_netmode,calc_state,$A30,calc_bu,$AA$4)</f>
        <v/>
      </c>
    </row>
    <row r="31">
      <c r="A31" s="142">
        <f>_lists!$B$26</f>
        <v/>
      </c>
      <c r="B31" s="143">
        <f>IF($AA31=0,"",SUMIFS(calc_ep,calc_state,$A31,calc_bu,$AA$4))</f>
        <v/>
      </c>
      <c r="C31" s="144">
        <f>IF($AA31=0,"",IF($B31&gt;0,SUMIFS(calc_w_mind,calc_state,$A31,calc_bu,$AA$4)/$B31,SUMIFS(lr_mind,lr_state,$A31,lr_bu,$AA$4)/$AA31))</f>
        <v/>
      </c>
      <c r="D31" s="145">
        <f>IF($AA31=0,"",IF($B31&gt;0,SUMIFS(calc_w_m0,calc_state,$A31,calc_bu,$AA$4)/$B31,SUMIFS(lr_m0,lr_state,$A31,lr_bu,$AA$4)/$AA31))</f>
        <v/>
      </c>
      <c r="E31" s="145">
        <f>IF($AA31=0,"",IF($B31&gt;0,SUMIFS(calc_w_m1,calc_state,$A31,calc_bu,$AA$4)/$B31,SUMIFS(lr_m1,lr_state,$A31,lr_bu,$AA$4)/$AA31))</f>
        <v/>
      </c>
      <c r="F31" s="146">
        <f>IF($AB31="","",IF(COUNTIFS(rl_key,$AB31,rl_seq,1)=0,"",SUMIFS(rl_eff,rl_key,$AB31,rl_seq,1)))</f>
        <v/>
      </c>
      <c r="G31" s="147">
        <f>IF($AB31="","",IF(COUNTIFS(rl_key,$AB31,rl_seq,1)=0,"",SUMIFS(rl_reff,rl_key,$AB31,rl_seq,1)))</f>
        <v/>
      </c>
      <c r="H31" s="148">
        <f>IF($AB31="","",IF(COUNTIFS(rl_key,$AB31,rl_seq,2)=0,"",SUMIFS(rl_eff,rl_key,$AB31,rl_seq,2)))</f>
        <v/>
      </c>
      <c r="I31" s="147">
        <f>IF($AB31="","",IF(COUNTIFS(rl_key,$AB31,rl_seq,2)=0,"",SUMIFS(rl_reff,rl_key,$AB31,rl_seq,2)))</f>
        <v/>
      </c>
      <c r="J31" s="148">
        <f>IF($AB31="","",IF(COUNTIFS(rl_key,$AB31,rl_seq,3)=0,"",SUMIFS(rl_eff,rl_key,$AB31,rl_seq,3)))</f>
        <v/>
      </c>
      <c r="K31" s="147">
        <f>IF($AB31="","",IF(COUNTIFS(rl_key,$AB31,rl_seq,3)=0,"",SUMIFS(rl_reff,rl_key,$AB31,rl_seq,3)))</f>
        <v/>
      </c>
      <c r="L31" s="148">
        <f>IF($AB31="","",IF(COUNTIFS(rl_key,$AB31,rl_seq,4)=0,"",SUMIFS(rl_eff,rl_key,$AB31,rl_seq,4)))</f>
        <v/>
      </c>
      <c r="M31" s="147">
        <f>IF($AB31="","",IF(COUNTIFS(rl_key,$AB31,rl_seq,4)=0,"",SUMIFS(rl_reff,rl_key,$AB31,rl_seq,4)))</f>
        <v/>
      </c>
      <c r="N31" s="149">
        <f>IF($AA31=0,"",IF($AB31="",COUNTIFS(rl_state,$A31,rl_eff,"&lt;&gt;"),COUNTIFS(rl_key,$AB31,rl_eff,"&lt;&gt;")))</f>
        <v/>
      </c>
      <c r="O31" s="150">
        <f>IF($AA31=0,"",IF($B31&gt;0,SUMIFS(calc_w_crl,calc_state,$A31,calc_bu,$AA$4)/$B31,SUMIFS(calc_crl,calc_state,$A31,calc_bu,$AA$4)/$AA31))</f>
        <v/>
      </c>
      <c r="P31" s="151">
        <f>IF($AA31=0,"",IF($B31&gt;0,SUMIFS(calc_w_ecy,calc_state,$A31,calc_bu,$AA$4)/$B31,SUMIFS(calc_ecy_p,calc_state,$A31,calc_bu,$AA$4)/$AA31))</f>
        <v/>
      </c>
      <c r="Q31" s="151">
        <f>IF($AA31=0,"",IF($B31&gt;0,SUMIFS(calc_w_arate,calc_state,$A31,calc_bu,$AA$4)/$B31,SUMIFS(calc_arate_p,calc_state,$A31,calc_bu,$AA$4)/$AA31))</f>
        <v/>
      </c>
      <c r="R31" s="145">
        <f>IF($AA31=0,"",IF($B31&gt;0,SUMIFS(calc_w_mbar,calc_state,$A31,calc_bu,$AA$4)/$B31,SUMIFS(calc_mbar_p,calc_state,$A31,calc_bu,$AA$4)/$AA31))</f>
        <v/>
      </c>
      <c r="S31" s="151">
        <f>IF($AA31=0,"",IF($B31&gt;0,SUMIFS(calc_w_amod,calc_state,$A31,calc_bu,$AA$4)/$B31,SUMIFS(calc_amod_p,calc_state,$A31,calc_bu,$AA$4)/$AA31))</f>
        <v/>
      </c>
      <c r="T31" s="152">
        <f>IF($AA31=0,"",IF($B31&gt;0,SUMIFS(calc_w_lrcur,calc_state,$A31,calc_bu,$AA$4)/$B31,SUMIFS(calc_lrcur,calc_state,$A31,calc_bu,$AA$4)/$AA31))</f>
        <v/>
      </c>
      <c r="U31" s="153">
        <f>IF($AA31=0,"",IF($B31&gt;0,SUMIFS(calc_w_cylr,calc_state,$A31,calc_bu,$AA$4)/$B31,SUMIFS(calc_cylr_p,calc_state,$A31,calc_bu,$AA$4)/$AA31))</f>
        <v/>
      </c>
      <c r="V31" s="154">
        <f>IF($AA31=0,"",IF($B31&gt;0,SUMIFS(calc_w_trend,calc_state,$A31,calc_bu,$AA$4)/$B31,SUMIFS(calc_trend,calc_state,$A31,calc_bu,$AA$4)/$AA31))</f>
        <v/>
      </c>
      <c r="W31" s="151">
        <f>IF($AA31=0,"",IF($B31&gt;0,SUMIFS(calc_w_arate1,calc_state,$A31,calc_bu,$AA$4)/$B31,SUMIFS(calc_arate_p1,calc_state,$A31,calc_bu,$AA$4)/$AA31))</f>
        <v/>
      </c>
      <c r="X31" s="151">
        <f>IF($AA31=0,"",IF($B31&gt;0,SUMIFS(calc_w_amod1,calc_state,$A31,calc_bu,$AA$4)/$B31,SUMIFS(calc_amod_p1,calc_state,$A31,calc_bu,$AA$4)/$AA31))</f>
        <v/>
      </c>
      <c r="Y31" s="153">
        <f>IF($AA31=0,"",IF($B31&gt;0,SUMIFS(calc_w_cylr1,calc_state,$A31,calc_bu,$AA$4)/$B31,SUMIFS(calc_cylr_p1,calc_state,$A31,calc_bu,$AA$4)/$AA31))</f>
        <v/>
      </c>
      <c r="Z31" s="154">
        <f>IF($AA31=0,"",IF($AC31=0,"—",SUMIFS(calc_netx,calc_state,$A31,calc_bu,$AA$4)/$AC31))</f>
        <v/>
      </c>
      <c r="AA31" s="75">
        <f>COUNTIFS(calc_state,$A31,calc_bu,$AA$4)</f>
        <v/>
      </c>
      <c r="AB31" s="113">
        <f>IF($B$4="All","",$B$4&amp;"|"&amp;$A31)</f>
        <v/>
      </c>
      <c r="AC31" s="75">
        <f>SUMIFS(calc_netmode,calc_state,$A31,calc_bu,$AA$4)</f>
        <v/>
      </c>
    </row>
    <row r="32">
      <c r="C32" s="155" t="n"/>
      <c r="F32" s="155" t="n"/>
      <c r="O32" s="155" t="n"/>
      <c r="T32" s="155" t="n"/>
      <c r="V32" s="155" t="n"/>
      <c r="Z32" s="155" t="n"/>
    </row>
    <row r="33">
      <c r="A33" s="156" t="inlineStr">
        <is>
          <t>TOTAL</t>
        </is>
      </c>
      <c r="B33" s="157">
        <f>SUMIFS(calc_ep,calc_bu,$AA$4)</f>
        <v/>
      </c>
      <c r="C33" s="158">
        <f>IF($B$33=0,"n/a",SUMIFS(calc_w_mind,calc_bu,$AA$4)/$B$33)</f>
        <v/>
      </c>
      <c r="D33" s="159">
        <f>IF($B$33=0,"n/a",SUMIFS(calc_w_m0,calc_bu,$AA$4)/$B$33)</f>
        <v/>
      </c>
      <c r="E33" s="159">
        <f>IF($B$33=0,"n/a",SUMIFS(calc_w_m1,calc_bu,$AA$4)/$B$33)</f>
        <v/>
      </c>
      <c r="F33" s="160" t="n"/>
      <c r="G33" s="161" t="n"/>
      <c r="H33" s="161" t="n"/>
      <c r="I33" s="161" t="n"/>
      <c r="J33" s="161" t="n"/>
      <c r="K33" s="161" t="n"/>
      <c r="L33" s="161" t="n"/>
      <c r="M33" s="161" t="n"/>
      <c r="N33" s="162">
        <f>IF($B$4="All",COUNTIFS(rl_eff,"&lt;&gt;"),COUNTIFS(rl_bu,$B$4,rl_eff,"&lt;&gt;"))</f>
        <v/>
      </c>
      <c r="O33" s="163">
        <f>IF($B$33=0,"n/a",SUMIFS(calc_w_crl,calc_bu,$AA$4)/$B$33)</f>
        <v/>
      </c>
      <c r="P33" s="164">
        <f>IF($B$33=0,"n/a",SUMIFS(calc_w_ecy,calc_bu,$AA$4)/$B$33)</f>
        <v/>
      </c>
      <c r="Q33" s="164">
        <f>IF($B$33=0,"n/a",SUMIFS(calc_w_arate,calc_bu,$AA$4)/$B$33)</f>
        <v/>
      </c>
      <c r="R33" s="159">
        <f>IF($B$33=0,"n/a",SUMIFS(calc_w_mbar,calc_bu,$AA$4)/$B$33)</f>
        <v/>
      </c>
      <c r="S33" s="164">
        <f>IF($B$33=0,"n/a",SUMIFS(calc_w_amod,calc_bu,$AA$4)/$B$33)</f>
        <v/>
      </c>
      <c r="T33" s="165">
        <f>IF($B$33=0,"n/a",SUMIFS(calc_w_lrcur,calc_bu,$AA$4)/$B$33)</f>
        <v/>
      </c>
      <c r="U33" s="166">
        <f>IF($B$33=0,"n/a",SUMIFS(calc_w_cylr,calc_bu,$AA$4)/$B$33)</f>
        <v/>
      </c>
      <c r="V33" s="167">
        <f>IF($B$33=0,"n/a",SUMIFS(calc_w_trend,calc_bu,$AA$4)/$B$33)</f>
        <v/>
      </c>
      <c r="W33" s="164">
        <f>IF($B$33=0,"n/a",SUMIFS(calc_w_arate1,calc_bu,$AA$4)/$B$33)</f>
        <v/>
      </c>
      <c r="X33" s="164">
        <f>IF($B$33=0,"n/a",SUMIFS(calc_w_amod1,calc_bu,$AA$4)/$B$33)</f>
        <v/>
      </c>
      <c r="Y33" s="166">
        <f>IF($B$33=0,"n/a",SUMIFS(calc_w_cylr1,calc_bu,$AA$4)/$B$33)</f>
        <v/>
      </c>
      <c r="Z33" s="167">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68" t="inlineStr">
        <is>
          <t>1.  Projected loss ratio (indication)</t>
        </is>
      </c>
      <c r="E61" s="169">
        <f>nr_LRproj</f>
        <v/>
      </c>
      <c r="G61" s="170">
        <f>"the indication's loss pick — already centered on CY "&amp;nr_PlanYear&amp;" losses, so no additional loss trend applies"</f>
        <v/>
      </c>
    </row>
    <row r="62">
      <c r="A62" s="168" t="inlineStr">
        <is>
          <t>2.  x  basis normalization</t>
        </is>
      </c>
      <c r="E62" s="171">
        <f>IF(nr_Basis="proposed",1+nr_SelS,1)</f>
        <v/>
      </c>
      <c r="G62" s="170">
        <f>IF(nr_Basis="proposed","input LR was at proposed level: x (1+s)","input LR already at current level: x 1.000")</f>
        <v/>
      </c>
    </row>
    <row r="63">
      <c r="A63" s="168" t="inlineStr">
        <is>
          <t>3.  x  rate earn-in  A_rate</t>
        </is>
      </c>
      <c r="E63" s="171">
        <f>nr_Arate_P</f>
        <v/>
      </c>
      <c r="G63" s="170">
        <f>IF(nr_NetMode,"combined rate + price factor A_net = CRL_ind "&amp;TEXT(nr_CRLind,"0.0000")&amp;" / net earned "&amp;TEXT(nr_ECY_P,"0.0000"),"CRL_ind "&amp;TEXT(nr_CRLind,"0.0000")&amp;" / earned "&amp;TEXT(nr_ECY_P,"0.0000")&amp;" — carryover plus partly-earned actions")</f>
        <v/>
      </c>
    </row>
    <row r="64">
      <c r="A64" s="168" t="inlineStr">
        <is>
          <t>4.  x  schedule-mod drift  A_mod</t>
        </is>
      </c>
      <c r="E64" s="171">
        <f>nr_Amod_P</f>
        <v/>
      </c>
      <c r="G64" s="170">
        <f>IF(nr_NetMode,"1.000 — merged into the net factor above","M_ind "&amp;TEXT(nr_MInd,"0.000")&amp;" / earned mod "&amp;TEXT(nr_MEarned_P,"0.000"))</f>
        <v/>
      </c>
    </row>
    <row r="65">
      <c r="A65" s="168" t="inlineStr">
        <is>
          <t>5.  x  other adjustment  A_other</t>
        </is>
      </c>
      <c r="E65" s="171">
        <f>nr_AOther</f>
        <v/>
      </c>
      <c r="G65" s="170">
        <f>IF(nr_AOtherLbl="","no manual adjustment",nr_AOtherLbl)</f>
        <v/>
      </c>
    </row>
    <row r="66">
      <c r="A66" s="172" t="inlineStr">
        <is>
          <t>RESULT:  CY plan loss ratio</t>
        </is>
      </c>
      <c r="E66" s="173">
        <f>nr_CYLR_P</f>
        <v/>
      </c>
      <c r="G66" s="170">
        <f>"the value in this state's CY "&amp;nr_PlanYear&amp;" plan LR column when its BU is in view"</f>
        <v/>
      </c>
    </row>
    <row r="67">
      <c r="A67" s="168" t="inlineStr">
        <is>
          <t>Next-year plan LR (indicative)</t>
        </is>
      </c>
      <c r="E67" s="169">
        <f>nr_CYLR_P1</f>
        <v/>
      </c>
      <c r="G67" s="170">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74" t="n"/>
      <c r="D7" s="174" t="n"/>
      <c r="E7" s="174" t="n"/>
      <c r="F7" s="174"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75">
        <f>nr_LRcur*D16*D17*nr_AOther</f>
        <v/>
      </c>
      <c r="E14" s="175">
        <f>nr_LRcur*E16*E17*nr_AOther</f>
        <v/>
      </c>
      <c r="F14" s="175">
        <f>nr_LRcur*F16*F17*nr_AOther</f>
        <v/>
      </c>
      <c r="G14" s="175">
        <f>nr_LRcur*G16*G17*nr_AOther</f>
        <v/>
      </c>
    </row>
    <row r="15">
      <c r="B15" s="20" t="inlineStr">
        <is>
          <t>Change vs Base (pts)</t>
        </is>
      </c>
      <c r="C15" s="116">
        <f>($C$14-$C$14)*100</f>
        <v/>
      </c>
      <c r="D15" s="104">
        <f>(D14-$C$14)*100</f>
        <v/>
      </c>
      <c r="E15" s="104">
        <f>(E14-$C$14)*100</f>
        <v/>
      </c>
      <c r="F15" s="104">
        <f>(F14-$C$14)*100</f>
        <v/>
      </c>
      <c r="G15" s="104">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7">
        <f>nr_YoY_P1</f>
        <v/>
      </c>
      <c r="D19" s="107">
        <f>'_calc'!$C$4099/'_calc'!$B$4099-1</f>
        <v/>
      </c>
      <c r="E19" s="107">
        <f>'_calc'!$C$4153/'_calc'!$B$4153-1</f>
        <v/>
      </c>
      <c r="F19" s="107">
        <f>'_calc'!$C$4207/'_calc'!$B$4207-1</f>
        <v/>
      </c>
      <c r="G19" s="107">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01">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76">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77">
        <f>IF(OR($C$12=0,$C$16=0),"n/a",($C$16*$C$13-$C$11)/$C$12-1)</f>
        <v/>
      </c>
      <c r="D17" s="101">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78">
        <f>IF(OR($C$9=0,NOT(ISNUMBER($C$17))),"n/a",$C$17/$C$9)</f>
        <v/>
      </c>
      <c r="F18" s="6" t="inlineStr">
        <is>
          <t>w x ec at eff month</t>
        </is>
      </c>
      <c r="G18" s="59">
        <f>IF($G$12,INDEX(slv_w,$G$13)*INDEX(slv_ecp,$G$13),0)</f>
        <v/>
      </c>
    </row>
    <row r="19">
      <c r="B19" s="20" t="inlineStr">
        <is>
          <t>Share of CY earned exposure on/after eff</t>
        </is>
      </c>
      <c r="C19" s="99">
        <f>$C$12/($C$11+$C$12)</f>
        <v/>
      </c>
      <c r="D19" s="101">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3" t="inlineStr">
        <is>
          <t>helper</t>
        </is>
      </c>
      <c r="J28" s="113" t="inlineStr">
        <is>
          <t>target</t>
        </is>
      </c>
    </row>
    <row r="29">
      <c r="B29" s="108">
        <f>TEXT(DATE(nr_PlanYear,1,1),"mmm yyyy")</f>
        <v/>
      </c>
      <c r="C29" s="179">
        <f>DATE(nr_PlanYear,1,1)</f>
        <v/>
      </c>
      <c r="D29" s="39">
        <f>'_calc'!$T$4698</f>
        <v/>
      </c>
      <c r="E29" s="39">
        <f>slv_total-'_calc'!$T$4699+'_calc'!$U$4699</f>
        <v/>
      </c>
      <c r="F29" s="103">
        <f>($D29+(1+$C$26)*$E29)/slv_den</f>
        <v/>
      </c>
      <c r="G29" s="102">
        <f>IF(nr_LRcur=0,0,nr_LRcur*(nr_CRLind/$F29)*$C$14*nr_AOther)</f>
        <v/>
      </c>
      <c r="H29" s="108">
        <f>IF($C$7="","-",IF($G29&lt;=$C$7,"YES","no"))</f>
        <v/>
      </c>
      <c r="I29" s="75">
        <f>IF($H29="YES",1,0)</f>
        <v/>
      </c>
      <c r="J29" s="180">
        <f>IF($C$7="","",$C$7)</f>
        <v/>
      </c>
    </row>
    <row r="30">
      <c r="B30" s="108">
        <f>TEXT(DATE(nr_PlanYear,2,1),"mmm yyyy")</f>
        <v/>
      </c>
      <c r="C30" s="179">
        <f>DATE(nr_PlanYear,2,1)</f>
        <v/>
      </c>
      <c r="D30" s="39">
        <f>'_calc'!$T$4699</f>
        <v/>
      </c>
      <c r="E30" s="39">
        <f>slv_total-'_calc'!$T$4700+'_calc'!$U$4700</f>
        <v/>
      </c>
      <c r="F30" s="103">
        <f>($D30+(1+$C$26)*$E30)/slv_den</f>
        <v/>
      </c>
      <c r="G30" s="102">
        <f>IF(nr_LRcur=0,0,nr_LRcur*(nr_CRLind/$F30)*$C$14*nr_AOther)</f>
        <v/>
      </c>
      <c r="H30" s="108">
        <f>IF($C$7="","-",IF($G30&lt;=$C$7,"YES","no"))</f>
        <v/>
      </c>
      <c r="I30" s="75">
        <f>IF($H30="YES",2,0)</f>
        <v/>
      </c>
      <c r="J30" s="180">
        <f>IF($C$7="","",$C$7)</f>
        <v/>
      </c>
    </row>
    <row r="31">
      <c r="B31" s="108">
        <f>TEXT(DATE(nr_PlanYear,3,1),"mmm yyyy")</f>
        <v/>
      </c>
      <c r="C31" s="179">
        <f>DATE(nr_PlanYear,3,1)</f>
        <v/>
      </c>
      <c r="D31" s="39">
        <f>'_calc'!$T$4700</f>
        <v/>
      </c>
      <c r="E31" s="39">
        <f>slv_total-'_calc'!$T$4701+'_calc'!$U$4701</f>
        <v/>
      </c>
      <c r="F31" s="103">
        <f>($D31+(1+$C$26)*$E31)/slv_den</f>
        <v/>
      </c>
      <c r="G31" s="102">
        <f>IF(nr_LRcur=0,0,nr_LRcur*(nr_CRLind/$F31)*$C$14*nr_AOther)</f>
        <v/>
      </c>
      <c r="H31" s="108">
        <f>IF($C$7="","-",IF($G31&lt;=$C$7,"YES","no"))</f>
        <v/>
      </c>
      <c r="I31" s="75">
        <f>IF($H31="YES",3,0)</f>
        <v/>
      </c>
      <c r="J31" s="180">
        <f>IF($C$7="","",$C$7)</f>
        <v/>
      </c>
    </row>
    <row r="32">
      <c r="B32" s="108">
        <f>TEXT(DATE(nr_PlanYear,4,1),"mmm yyyy")</f>
        <v/>
      </c>
      <c r="C32" s="179">
        <f>DATE(nr_PlanYear,4,1)</f>
        <v/>
      </c>
      <c r="D32" s="39">
        <f>'_calc'!$T$4701</f>
        <v/>
      </c>
      <c r="E32" s="39">
        <f>slv_total-'_calc'!$T$4702+'_calc'!$U$4702</f>
        <v/>
      </c>
      <c r="F32" s="103">
        <f>($D32+(1+$C$26)*$E32)/slv_den</f>
        <v/>
      </c>
      <c r="G32" s="102">
        <f>IF(nr_LRcur=0,0,nr_LRcur*(nr_CRLind/$F32)*$C$14*nr_AOther)</f>
        <v/>
      </c>
      <c r="H32" s="108">
        <f>IF($C$7="","-",IF($G32&lt;=$C$7,"YES","no"))</f>
        <v/>
      </c>
      <c r="I32" s="75">
        <f>IF($H32="YES",4,0)</f>
        <v/>
      </c>
      <c r="J32" s="180">
        <f>IF($C$7="","",$C$7)</f>
        <v/>
      </c>
    </row>
    <row r="33">
      <c r="B33" s="108">
        <f>TEXT(DATE(nr_PlanYear,5,1),"mmm yyyy")</f>
        <v/>
      </c>
      <c r="C33" s="179">
        <f>DATE(nr_PlanYear,5,1)</f>
        <v/>
      </c>
      <c r="D33" s="39">
        <f>'_calc'!$T$4702</f>
        <v/>
      </c>
      <c r="E33" s="39">
        <f>slv_total-'_calc'!$T$4703+'_calc'!$U$4703</f>
        <v/>
      </c>
      <c r="F33" s="103">
        <f>($D33+(1+$C$26)*$E33)/slv_den</f>
        <v/>
      </c>
      <c r="G33" s="102">
        <f>IF(nr_LRcur=0,0,nr_LRcur*(nr_CRLind/$F33)*$C$14*nr_AOther)</f>
        <v/>
      </c>
      <c r="H33" s="108">
        <f>IF($C$7="","-",IF($G33&lt;=$C$7,"YES","no"))</f>
        <v/>
      </c>
      <c r="I33" s="75">
        <f>IF($H33="YES",5,0)</f>
        <v/>
      </c>
      <c r="J33" s="180">
        <f>IF($C$7="","",$C$7)</f>
        <v/>
      </c>
    </row>
    <row r="34">
      <c r="B34" s="108">
        <f>TEXT(DATE(nr_PlanYear,6,1),"mmm yyyy")</f>
        <v/>
      </c>
      <c r="C34" s="179">
        <f>DATE(nr_PlanYear,6,1)</f>
        <v/>
      </c>
      <c r="D34" s="39">
        <f>'_calc'!$T$4703</f>
        <v/>
      </c>
      <c r="E34" s="39">
        <f>slv_total-'_calc'!$T$4704+'_calc'!$U$4704</f>
        <v/>
      </c>
      <c r="F34" s="103">
        <f>($D34+(1+$C$26)*$E34)/slv_den</f>
        <v/>
      </c>
      <c r="G34" s="102">
        <f>IF(nr_LRcur=0,0,nr_LRcur*(nr_CRLind/$F34)*$C$14*nr_AOther)</f>
        <v/>
      </c>
      <c r="H34" s="108">
        <f>IF($C$7="","-",IF($G34&lt;=$C$7,"YES","no"))</f>
        <v/>
      </c>
      <c r="I34" s="75">
        <f>IF($H34="YES",6,0)</f>
        <v/>
      </c>
      <c r="J34" s="180">
        <f>IF($C$7="","",$C$7)</f>
        <v/>
      </c>
    </row>
    <row r="35">
      <c r="B35" s="108">
        <f>TEXT(DATE(nr_PlanYear,7,1),"mmm yyyy")</f>
        <v/>
      </c>
      <c r="C35" s="179">
        <f>DATE(nr_PlanYear,7,1)</f>
        <v/>
      </c>
      <c r="D35" s="39">
        <f>'_calc'!$T$4704</f>
        <v/>
      </c>
      <c r="E35" s="39">
        <f>slv_total-'_calc'!$T$4705+'_calc'!$U$4705</f>
        <v/>
      </c>
      <c r="F35" s="103">
        <f>($D35+(1+$C$26)*$E35)/slv_den</f>
        <v/>
      </c>
      <c r="G35" s="102">
        <f>IF(nr_LRcur=0,0,nr_LRcur*(nr_CRLind/$F35)*$C$14*nr_AOther)</f>
        <v/>
      </c>
      <c r="H35" s="108">
        <f>IF($C$7="","-",IF($G35&lt;=$C$7,"YES","no"))</f>
        <v/>
      </c>
      <c r="I35" s="75">
        <f>IF($H35="YES",7,0)</f>
        <v/>
      </c>
      <c r="J35" s="180">
        <f>IF($C$7="","",$C$7)</f>
        <v/>
      </c>
    </row>
    <row r="36">
      <c r="B36" s="108">
        <f>TEXT(DATE(nr_PlanYear,8,1),"mmm yyyy")</f>
        <v/>
      </c>
      <c r="C36" s="179">
        <f>DATE(nr_PlanYear,8,1)</f>
        <v/>
      </c>
      <c r="D36" s="39">
        <f>'_calc'!$T$4705</f>
        <v/>
      </c>
      <c r="E36" s="39">
        <f>slv_total-'_calc'!$T$4706+'_calc'!$U$4706</f>
        <v/>
      </c>
      <c r="F36" s="103">
        <f>($D36+(1+$C$26)*$E36)/slv_den</f>
        <v/>
      </c>
      <c r="G36" s="102">
        <f>IF(nr_LRcur=0,0,nr_LRcur*(nr_CRLind/$F36)*$C$14*nr_AOther)</f>
        <v/>
      </c>
      <c r="H36" s="108">
        <f>IF($C$7="","-",IF($G36&lt;=$C$7,"YES","no"))</f>
        <v/>
      </c>
      <c r="I36" s="75">
        <f>IF($H36="YES",8,0)</f>
        <v/>
      </c>
      <c r="J36" s="180">
        <f>IF($C$7="","",$C$7)</f>
        <v/>
      </c>
    </row>
    <row r="37">
      <c r="B37" s="108">
        <f>TEXT(DATE(nr_PlanYear,9,1),"mmm yyyy")</f>
        <v/>
      </c>
      <c r="C37" s="179">
        <f>DATE(nr_PlanYear,9,1)</f>
        <v/>
      </c>
      <c r="D37" s="39">
        <f>'_calc'!$T$4706</f>
        <v/>
      </c>
      <c r="E37" s="39">
        <f>slv_total-'_calc'!$T$4707+'_calc'!$U$4707</f>
        <v/>
      </c>
      <c r="F37" s="103">
        <f>($D37+(1+$C$26)*$E37)/slv_den</f>
        <v/>
      </c>
      <c r="G37" s="102">
        <f>IF(nr_LRcur=0,0,nr_LRcur*(nr_CRLind/$F37)*$C$14*nr_AOther)</f>
        <v/>
      </c>
      <c r="H37" s="108">
        <f>IF($C$7="","-",IF($G37&lt;=$C$7,"YES","no"))</f>
        <v/>
      </c>
      <c r="I37" s="75">
        <f>IF($H37="YES",9,0)</f>
        <v/>
      </c>
      <c r="J37" s="180">
        <f>IF($C$7="","",$C$7)</f>
        <v/>
      </c>
    </row>
    <row r="38">
      <c r="B38" s="108">
        <f>TEXT(DATE(nr_PlanYear,10,1),"mmm yyyy")</f>
        <v/>
      </c>
      <c r="C38" s="179">
        <f>DATE(nr_PlanYear,10,1)</f>
        <v/>
      </c>
      <c r="D38" s="39">
        <f>'_calc'!$T$4707</f>
        <v/>
      </c>
      <c r="E38" s="39">
        <f>slv_total-'_calc'!$T$4708+'_calc'!$U$4708</f>
        <v/>
      </c>
      <c r="F38" s="103">
        <f>($D38+(1+$C$26)*$E38)/slv_den</f>
        <v/>
      </c>
      <c r="G38" s="102">
        <f>IF(nr_LRcur=0,0,nr_LRcur*(nr_CRLind/$F38)*$C$14*nr_AOther)</f>
        <v/>
      </c>
      <c r="H38" s="108">
        <f>IF($C$7="","-",IF($G38&lt;=$C$7,"YES","no"))</f>
        <v/>
      </c>
      <c r="I38" s="75">
        <f>IF($H38="YES",10,0)</f>
        <v/>
      </c>
      <c r="J38" s="180">
        <f>IF($C$7="","",$C$7)</f>
        <v/>
      </c>
    </row>
    <row r="39">
      <c r="B39" s="108">
        <f>TEXT(DATE(nr_PlanYear,11,1),"mmm yyyy")</f>
        <v/>
      </c>
      <c r="C39" s="179">
        <f>DATE(nr_PlanYear,11,1)</f>
        <v/>
      </c>
      <c r="D39" s="39">
        <f>'_calc'!$T$4708</f>
        <v/>
      </c>
      <c r="E39" s="39">
        <f>slv_total-'_calc'!$T$4709+'_calc'!$U$4709</f>
        <v/>
      </c>
      <c r="F39" s="103">
        <f>($D39+(1+$C$26)*$E39)/slv_den</f>
        <v/>
      </c>
      <c r="G39" s="102">
        <f>IF(nr_LRcur=0,0,nr_LRcur*(nr_CRLind/$F39)*$C$14*nr_AOther)</f>
        <v/>
      </c>
      <c r="H39" s="108">
        <f>IF($C$7="","-",IF($G39&lt;=$C$7,"YES","no"))</f>
        <v/>
      </c>
      <c r="I39" s="75">
        <f>IF($H39="YES",11,0)</f>
        <v/>
      </c>
      <c r="J39" s="180">
        <f>IF($C$7="","",$C$7)</f>
        <v/>
      </c>
    </row>
    <row r="40">
      <c r="B40" s="108">
        <f>TEXT(DATE(nr_PlanYear,12,1),"mmm yyyy")</f>
        <v/>
      </c>
      <c r="C40" s="179">
        <f>DATE(nr_PlanYear,12,1)</f>
        <v/>
      </c>
      <c r="D40" s="39">
        <f>'_calc'!$T$4709</f>
        <v/>
      </c>
      <c r="E40" s="39">
        <f>slv_total-'_calc'!$T$4710+'_calc'!$U$4710</f>
        <v/>
      </c>
      <c r="F40" s="103">
        <f>($D40+(1+$C$26)*$E40)/slv_den</f>
        <v/>
      </c>
      <c r="G40" s="102">
        <f>IF(nr_LRcur=0,0,nr_LRcur*(nr_CRLind/$F40)*$C$14*nr_AOther)</f>
        <v/>
      </c>
      <c r="H40" s="108">
        <f>IF($C$7="","-",IF($G40&lt;=$C$7,"YES","no"))</f>
        <v/>
      </c>
      <c r="I40" s="75">
        <f>IF($H40="YES",12,0)</f>
        <v/>
      </c>
      <c r="J40" s="180">
        <f>IF($C$7="","",$C$7)</f>
        <v/>
      </c>
    </row>
    <row r="42">
      <c r="B42" s="18" t="inlineStr">
        <is>
          <t>Latest start month that still meets the target</t>
        </is>
      </c>
      <c r="D42" s="181">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01">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82"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83">
        <f>IF(COUNTIF('_calc'!$A$4268:$A$4507,1)=0,"",INDEX(rl_eff,MATCH(1,'_calc'!$A$4268:$A$4507,0)))</f>
        <v/>
      </c>
      <c r="D14" s="184">
        <f>IF($C14="","",INDEX(rl_reff,MATCH(1,'_calc'!$A$4268:$A$4507,0)))</f>
        <v/>
      </c>
      <c r="E14" s="49" t="n"/>
      <c r="F14" s="182" t="n"/>
    </row>
    <row r="15">
      <c r="B15" s="77" t="n">
        <v>2</v>
      </c>
      <c r="C15" s="183">
        <f>IF(COUNTIF('_calc'!$A$4268:$A$4507,2)=0,"",INDEX(rl_eff,MATCH(2,'_calc'!$A$4268:$A$4507,0)))</f>
        <v/>
      </c>
      <c r="D15" s="184">
        <f>IF($C15="","",INDEX(rl_reff,MATCH(2,'_calc'!$A$4268:$A$4507,0)))</f>
        <v/>
      </c>
      <c r="E15" s="49" t="n"/>
      <c r="F15" s="182" t="n"/>
    </row>
    <row r="16">
      <c r="B16" s="77" t="n">
        <v>3</v>
      </c>
      <c r="C16" s="183">
        <f>IF(COUNTIF('_calc'!$A$4268:$A$4507,3)=0,"",INDEX(rl_eff,MATCH(3,'_calc'!$A$4268:$A$4507,0)))</f>
        <v/>
      </c>
      <c r="D16" s="184">
        <f>IF($C16="","",INDEX(rl_reff,MATCH(3,'_calc'!$A$4268:$A$4507,0)))</f>
        <v/>
      </c>
      <c r="E16" s="49" t="n"/>
      <c r="F16" s="182" t="n"/>
    </row>
    <row r="17">
      <c r="B17" s="77" t="n">
        <v>4</v>
      </c>
      <c r="C17" s="183">
        <f>IF(COUNTIF('_calc'!$A$4268:$A$4507,4)=0,"",INDEX(rl_eff,MATCH(4,'_calc'!$A$4268:$A$4507,0)))</f>
        <v/>
      </c>
      <c r="D17" s="184">
        <f>IF($C17="","",INDEX(rl_reff,MATCH(4,'_calc'!$A$4268:$A$4507,0)))</f>
        <v/>
      </c>
      <c r="E17" s="49" t="n"/>
      <c r="F17" s="182" t="n"/>
    </row>
    <row r="18">
      <c r="B18" s="77" t="n">
        <v>5</v>
      </c>
      <c r="C18" s="183">
        <f>IF(COUNTIF('_calc'!$A$4268:$A$4507,5)=0,"",INDEX(rl_eff,MATCH(5,'_calc'!$A$4268:$A$4507,0)))</f>
        <v/>
      </c>
      <c r="D18" s="184">
        <f>IF($C18="","",INDEX(rl_reff,MATCH(5,'_calc'!$A$4268:$A$4507,0)))</f>
        <v/>
      </c>
      <c r="E18" s="49" t="n"/>
      <c r="F18" s="182" t="n"/>
    </row>
    <row r="19">
      <c r="B19" s="77" t="n">
        <v>6</v>
      </c>
      <c r="C19" s="183">
        <f>IF(COUNTIF('_calc'!$A$4268:$A$4507,6)=0,"",INDEX(rl_eff,MATCH(6,'_calc'!$A$4268:$A$4507,0)))</f>
        <v/>
      </c>
      <c r="D19" s="184">
        <f>IF($C19="","",INDEX(rl_reff,MATCH(6,'_calc'!$A$4268:$A$4507,0)))</f>
        <v/>
      </c>
      <c r="E19" s="49" t="n"/>
      <c r="F19" s="182" t="n"/>
    </row>
    <row r="20">
      <c r="B20" s="77" t="n">
        <v>7</v>
      </c>
      <c r="C20" s="183">
        <f>IF(COUNTIF('_calc'!$A$4268:$A$4507,7)=0,"",INDEX(rl_eff,MATCH(7,'_calc'!$A$4268:$A$4507,0)))</f>
        <v/>
      </c>
      <c r="D20" s="184">
        <f>IF($C20="","",INDEX(rl_reff,MATCH(7,'_calc'!$A$4268:$A$4507,0)))</f>
        <v/>
      </c>
      <c r="E20" s="49" t="n"/>
      <c r="F20" s="182" t="n"/>
    </row>
    <row r="21">
      <c r="B21" s="77" t="n">
        <v>8</v>
      </c>
      <c r="C21" s="183">
        <f>IF(COUNTIF('_calc'!$A$4268:$A$4507,8)=0,"",INDEX(rl_eff,MATCH(8,'_calc'!$A$4268:$A$4507,0)))</f>
        <v/>
      </c>
      <c r="D21" s="184">
        <f>IF($C21="","",INDEX(rl_reff,MATCH(8,'_calc'!$A$4268:$A$4507,0)))</f>
        <v/>
      </c>
      <c r="E21" s="49" t="n"/>
      <c r="F21" s="182"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75">
        <f>nr_CYLR_P</f>
        <v/>
      </c>
    </row>
    <row r="26">
      <c r="B26" s="20" t="inlineStr">
        <is>
          <t>1. Rate magnitude (achieved %, planned dates)</t>
        </is>
      </c>
      <c r="C26" s="103">
        <f>IF(nr_NetMode,1,nr_ECY_P/'_calc'!$B$4561)</f>
        <v/>
      </c>
      <c r="D26" s="102">
        <f>$D25*$C26</f>
        <v/>
      </c>
      <c r="E26" s="104">
        <f>($D26-$D25)*100</f>
        <v/>
      </c>
    </row>
    <row r="27">
      <c r="B27" s="20" t="inlineStr">
        <is>
          <t>2. Rate timing (achieved %, actual dates)</t>
        </is>
      </c>
      <c r="C27" s="103">
        <f>IF(nr_NetMode,1,'_calc'!$B$4561/'_calc'!$B$4615)</f>
        <v/>
      </c>
      <c r="D27" s="102">
        <f>$D26*$C27</f>
        <v/>
      </c>
      <c r="E27" s="104">
        <f>($D27-$D26)*100</f>
        <v/>
      </c>
    </row>
    <row r="28">
      <c r="B28" s="20" t="inlineStr">
        <is>
          <t>3. Mod drift (actual mod path)</t>
        </is>
      </c>
      <c r="C28" s="103">
        <f>IF(nr_NetMode,1,IF(AND(nr_ModAdjMaster="ON",nr_ModAdjRow="ON"),nr_MEarned_P/'_calc'!$B$4669,1))</f>
        <v/>
      </c>
      <c r="D28" s="102">
        <f>$D27*$C28</f>
        <v/>
      </c>
      <c r="E28" s="104">
        <f>($D28-$D27)*100</f>
        <v/>
      </c>
    </row>
    <row r="29">
      <c r="B29" s="20" t="inlineStr">
        <is>
          <t>4. Loss-side residual</t>
        </is>
      </c>
      <c r="C29" s="103">
        <f>IF(N(att_actlr)=0,1,att_actlr/$D$28)</f>
        <v/>
      </c>
      <c r="D29" s="102">
        <f>$D28*$C29</f>
        <v/>
      </c>
      <c r="E29" s="104">
        <f>($D29-$D28)*100</f>
        <v/>
      </c>
    </row>
    <row r="30">
      <c r="B30" s="18" t="inlineStr">
        <is>
          <t>Actual CY LR</t>
        </is>
      </c>
      <c r="D30" s="105">
        <f>$D$29</f>
        <v/>
      </c>
    </row>
    <row r="32">
      <c r="B32" s="185">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81">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86">
        <f>0</f>
        <v/>
      </c>
      <c r="E6" s="186">
        <f>MAX(re_rowsum_chk)</f>
        <v/>
      </c>
      <c r="F6" s="77" t="n">
        <v>1e-09</v>
      </c>
      <c r="G6" s="187">
        <f>IF(ABS($E6-$D6)&lt;=$F6,"PASS","FAIL")</f>
        <v/>
      </c>
    </row>
    <row r="7">
      <c r="A7" s="77" t="n">
        <v>2</v>
      </c>
      <c r="B7" s="6" t="inlineStr">
        <is>
          <t>Structure</t>
        </is>
      </c>
      <c r="C7" s="20" t="inlineStr">
        <is>
          <t>Monthly earned index within [min W, max W] of contributing cohorts</t>
        </is>
      </c>
      <c r="D7" s="186">
        <f>0</f>
        <v/>
      </c>
      <c r="E7" s="186">
        <f>MAX(re_viol_row)</f>
        <v/>
      </c>
      <c r="F7" s="77" t="n">
        <v>1e-09</v>
      </c>
      <c r="G7" s="187">
        <f>IF(ABS($E7-$D7)&lt;=$F7,"PASS","FAIL")</f>
        <v/>
      </c>
    </row>
    <row r="8">
      <c r="A8" s="77" t="n">
        <v>3</v>
      </c>
      <c r="B8" s="6" t="inlineStr">
        <is>
          <t>Structure</t>
        </is>
      </c>
      <c r="C8" s="20" t="inlineStr">
        <is>
          <t>E_CY(P): monthly-matrix aggregation = closed-form ec aggregation</t>
        </is>
      </c>
      <c r="D8" s="186">
        <f>nr_ECY_P</f>
        <v/>
      </c>
      <c r="E8" s="186">
        <f>re_ecy_matrix</f>
        <v/>
      </c>
      <c r="F8" s="77" t="n">
        <v>1e-09</v>
      </c>
      <c r="G8" s="187">
        <f>IF(ABS($E8-$D8)&lt;=$F8,"PASS","FAIL")</f>
        <v/>
      </c>
    </row>
    <row r="9">
      <c r="A9" s="77" t="n">
        <v>4</v>
      </c>
      <c r="B9" s="6" t="inlineStr">
        <is>
          <t>Structure</t>
        </is>
      </c>
      <c r="C9" s="20" t="inlineStr">
        <is>
          <t>E_CY(P): visible Rate Engine = hidden _calc block (selected combo)</t>
        </is>
      </c>
      <c r="D9" s="186">
        <f>0</f>
        <v/>
      </c>
      <c r="E9" s="186">
        <f>IF(br_selrow=0,0,ABS(INDEX(calc_ecy_p,br_selrow)-nr_ECY_P))</f>
        <v/>
      </c>
      <c r="F9" s="77" t="n">
        <v>1e-09</v>
      </c>
      <c r="G9" s="187">
        <f>IF(ABS($E9-$D9)&lt;=$F9,"PASS","FAIL")</f>
        <v/>
      </c>
    </row>
    <row r="10">
      <c r="A10" s="77" t="n">
        <v>5</v>
      </c>
      <c r="B10" s="6" t="inlineStr">
        <is>
          <t>Structure</t>
        </is>
      </c>
      <c r="C10" s="20" t="inlineStr">
        <is>
          <t>CRL_ind: visible Rate Engine = hidden _calc block (selected combo)</t>
        </is>
      </c>
      <c r="D10" s="186">
        <f>0</f>
        <v/>
      </c>
      <c r="E10" s="186">
        <f>IF(br_selrow=0,0,ABS(INDEX(calc_crl,br_selrow)-nr_CRLind))</f>
        <v/>
      </c>
      <c r="F10" s="77" t="n">
        <v>1e-09</v>
      </c>
      <c r="G10" s="187">
        <f>IF(ABS($E10-$D10)&lt;=$F10,"PASS","FAIL")</f>
        <v/>
      </c>
    </row>
    <row r="11">
      <c r="A11" s="77" t="n">
        <v>6</v>
      </c>
      <c r="B11" s="6" t="inlineStr">
        <is>
          <t>Structure</t>
        </is>
      </c>
      <c r="C11" s="20" t="inlineStr">
        <is>
          <t>Bridge chain: LR_cur x A_rate x A_mod x A_other = CY plan LR</t>
        </is>
      </c>
      <c r="D11" s="186">
        <f>0</f>
        <v/>
      </c>
      <c r="E11" s="186">
        <f>ABS(nr_LRcur*nr_Arate_P*nr_Amod_P*nr_AOther-nr_CYLR_P)</f>
        <v/>
      </c>
      <c r="F11" s="77" t="n">
        <v>1e-09</v>
      </c>
      <c r="G11" s="187">
        <f>IF(ABS($E11-$D11)&lt;=$F11,"PASS","FAIL")</f>
        <v/>
      </c>
    </row>
    <row r="12">
      <c r="A12" s="77" t="n">
        <v>7</v>
      </c>
      <c r="B12" s="6" t="inlineStr">
        <is>
          <t>Structure</t>
        </is>
      </c>
      <c r="C12" s="20" t="inlineStr">
        <is>
          <t>Bridge chain (P+1): with (1+trend) factor = CY LR(P+1)</t>
        </is>
      </c>
      <c r="D12" s="186">
        <f>0</f>
        <v/>
      </c>
      <c r="E12" s="186">
        <f>ABS(nr_LRcur*(1+nr_Trend)*nr_Arate_P1*nr_Amod_P1*nr_AOther-nr_CYLR_P1)</f>
        <v/>
      </c>
      <c r="F12" s="77" t="n">
        <v>1e-09</v>
      </c>
      <c r="G12" s="187">
        <f>IF(ABS($E12-$D12)&lt;=$F12,"PASS","FAIL")</f>
        <v/>
      </c>
    </row>
    <row r="13">
      <c r="A13" s="77" t="n">
        <v>8</v>
      </c>
      <c r="B13" s="6" t="inlineStr">
        <is>
          <t>Structure</t>
        </is>
      </c>
      <c r="C13" s="20" t="inlineStr">
        <is>
          <t>Portfolio row = Bridge result (selected combo)</t>
        </is>
      </c>
      <c r="D13" s="186">
        <f>0</f>
        <v/>
      </c>
      <c r="E13" s="186">
        <f>IF(br_selrow=0,0,ABS(INDEX(calc_cylr_p,br_selrow)-nr_CYLR_P))</f>
        <v/>
      </c>
      <c r="F13" s="77" t="n">
        <v>1e-09</v>
      </c>
      <c r="G13" s="187">
        <f>IF(ABS($E13-$D13)&lt;=$F13,"PASS","FAIL")</f>
        <v/>
      </c>
    </row>
    <row r="14">
      <c r="A14" s="77" t="n">
        <v>9</v>
      </c>
      <c r="B14" s="6" t="inlineStr">
        <is>
          <t>Structure</t>
        </is>
      </c>
      <c r="C14" s="20" t="inlineStr">
        <is>
          <t>Scenario engine reproduces Base when all levers blank</t>
        </is>
      </c>
      <c r="D14" s="186">
        <f>0</f>
        <v/>
      </c>
      <c r="E14" s="186">
        <f>IF(COUNT(sc_dpts,sc_shift,sc_ach,sc_dm1,sc_dnet)&gt;0,0,ABS(INDEX(sc_res_cylr,2)-nr_CYLR_P))</f>
        <v/>
      </c>
      <c r="F14" s="77" t="n">
        <v>1e-09</v>
      </c>
      <c r="G14" s="187">
        <f>IF(ABS($E14-$D14)&lt;=$F14,"PASS","FAIL")</f>
        <v/>
      </c>
    </row>
    <row r="15">
      <c r="A15" s="77" t="n">
        <v>10</v>
      </c>
      <c r="B15" s="6" t="inlineStr">
        <is>
          <t>Identity</t>
        </is>
      </c>
      <c r="C15" s="20" t="inlineStr">
        <is>
          <t>Linear-mod identity: CY P earned mod = written mod at 1/1/P (§3.3.5)</t>
        </is>
      </c>
      <c r="D15" s="188">
        <f>me_identity</f>
        <v/>
      </c>
      <c r="E15" s="188">
        <f>nr_MEarned_P</f>
        <v/>
      </c>
      <c r="F15" s="189">
        <f>MAX(0.0002,ABS('Mod Engine'!$H$7)*2)</f>
        <v/>
      </c>
      <c r="G15" s="187">
        <f>IF(NOT(me_identity_ok),"N/A",IF(ABS(nr_MEarned_P-me_identity)&lt;=$F15,"PASS","FAIL"))</f>
        <v/>
      </c>
    </row>
    <row r="16">
      <c r="A16" s="77" t="n">
        <v>11</v>
      </c>
      <c r="B16" s="6" t="inlineStr">
        <is>
          <t>Structure</t>
        </is>
      </c>
      <c r="C16" s="20" t="inlineStr">
        <is>
          <t>Attribution factors multiply back to the actual CY LR</t>
        </is>
      </c>
      <c r="D16" s="102">
        <f>N(att_actlr)</f>
        <v/>
      </c>
      <c r="E16" s="186">
        <f>IF(N(att_actlr)=0,0,ABS('Attribution'!$D$25*'Attribution'!$C$26*'Attribution'!$C$27*'Attribution'!$C$28*'Attribution'!$C$29-att_actlr))</f>
        <v/>
      </c>
      <c r="F16" s="77" t="n">
        <v>1e-07</v>
      </c>
      <c r="G16" s="187">
        <f>IF(N(att_actlr)=0,"N/A",IF($E16&lt;=$F16,"PASS","FAIL"))</f>
        <v/>
      </c>
    </row>
    <row r="17">
      <c r="A17" s="77" t="n">
        <v>12</v>
      </c>
      <c r="B17" s="6" t="inlineStr">
        <is>
          <t>Oracle tie</t>
        </is>
      </c>
      <c r="C17" s="20" t="inlineStr">
        <is>
          <t>CRL_ind ties oracle</t>
        </is>
      </c>
      <c r="D17" s="186">
        <f>orc_crl</f>
        <v/>
      </c>
      <c r="E17" s="186">
        <f>nr_CRLind</f>
        <v/>
      </c>
      <c r="F17" s="77" t="n">
        <v>1e-06</v>
      </c>
      <c r="G17" s="187">
        <f>IF(NOT(orc_fp),"N/A",IF(ABS($E17-$D17)&lt;=$F17,"PASS","FAIL"))</f>
        <v/>
      </c>
    </row>
    <row r="18">
      <c r="A18" s="77" t="n">
        <v>13</v>
      </c>
      <c r="B18" s="6" t="inlineStr">
        <is>
          <t>Oracle tie</t>
        </is>
      </c>
      <c r="C18" s="20" t="inlineStr">
        <is>
          <t>E_CY(P-1) ties oracle</t>
        </is>
      </c>
      <c r="D18" s="186">
        <f>orc_ecy_pm1</f>
        <v/>
      </c>
      <c r="E18" s="186">
        <f>nr_ECY_Pm1</f>
        <v/>
      </c>
      <c r="F18" s="77" t="n">
        <v>1e-06</v>
      </c>
      <c r="G18" s="187">
        <f>IF(NOT(orc_fp),"N/A",IF(ABS($E18-$D18)&lt;=$F18,"PASS","FAIL"))</f>
        <v/>
      </c>
    </row>
    <row r="19">
      <c r="A19" s="77" t="n">
        <v>14</v>
      </c>
      <c r="B19" s="6" t="inlineStr">
        <is>
          <t>Oracle tie</t>
        </is>
      </c>
      <c r="C19" s="20" t="inlineStr">
        <is>
          <t>E_CY(P) ties oracle</t>
        </is>
      </c>
      <c r="D19" s="186">
        <f>orc_ecy_p</f>
        <v/>
      </c>
      <c r="E19" s="186">
        <f>nr_ECY_P</f>
        <v/>
      </c>
      <c r="F19" s="77" t="n">
        <v>1e-06</v>
      </c>
      <c r="G19" s="187">
        <f>IF(NOT(orc_fp),"N/A",IF(ABS($E19-$D19)&lt;=$F19,"PASS","FAIL"))</f>
        <v/>
      </c>
    </row>
    <row r="20">
      <c r="A20" s="77" t="n">
        <v>15</v>
      </c>
      <c r="B20" s="6" t="inlineStr">
        <is>
          <t>Oracle tie</t>
        </is>
      </c>
      <c r="C20" s="20" t="inlineStr">
        <is>
          <t>E_CY(P+1) ties oracle</t>
        </is>
      </c>
      <c r="D20" s="186">
        <f>orc_ecy_p1</f>
        <v/>
      </c>
      <c r="E20" s="186">
        <f>nr_ECY_P1</f>
        <v/>
      </c>
      <c r="F20" s="77" t="n">
        <v>1e-06</v>
      </c>
      <c r="G20" s="187">
        <f>IF(NOT(orc_fp),"N/A",IF(ABS($E20-$D20)&lt;=$F20,"PASS","FAIL"))</f>
        <v/>
      </c>
    </row>
    <row r="21">
      <c r="A21" s="77" t="n">
        <v>16</v>
      </c>
      <c r="B21" s="6" t="inlineStr">
        <is>
          <t>Oracle tie</t>
        </is>
      </c>
      <c r="C21" s="20" t="inlineStr">
        <is>
          <t>CY P earned mod ties oracle</t>
        </is>
      </c>
      <c r="D21" s="186">
        <f>orc_mbar_p</f>
        <v/>
      </c>
      <c r="E21" s="186">
        <f>nr_MEarned_P</f>
        <v/>
      </c>
      <c r="F21" s="77" t="n">
        <v>1e-06</v>
      </c>
      <c r="G21" s="187">
        <f>IF(NOT(orc_fp),"N/A",IF(ABS($E21-$D21)&lt;=$F21,"PASS","FAIL"))</f>
        <v/>
      </c>
    </row>
    <row r="22">
      <c r="A22" s="77" t="n">
        <v>17</v>
      </c>
      <c r="B22" s="6" t="inlineStr">
        <is>
          <t>Oracle tie</t>
        </is>
      </c>
      <c r="C22" s="20" t="inlineStr">
        <is>
          <t>A_rate(P) ties oracle</t>
        </is>
      </c>
      <c r="D22" s="186">
        <f>orc_arate_p</f>
        <v/>
      </c>
      <c r="E22" s="186">
        <f>nr_Arate_P</f>
        <v/>
      </c>
      <c r="F22" s="77" t="n">
        <v>1e-06</v>
      </c>
      <c r="G22" s="187">
        <f>IF(NOT(orc_fp),"N/A",IF(ABS($E22-$D22)&lt;=$F22,"PASS","FAIL"))</f>
        <v/>
      </c>
    </row>
    <row r="23">
      <c r="A23" s="77" t="n">
        <v>18</v>
      </c>
      <c r="B23" s="6" t="inlineStr">
        <is>
          <t>Oracle tie</t>
        </is>
      </c>
      <c r="C23" s="20" t="inlineStr">
        <is>
          <t>A_rate(P+1) ties oracle</t>
        </is>
      </c>
      <c r="D23" s="186">
        <f>orc_arate_p1</f>
        <v/>
      </c>
      <c r="E23" s="186">
        <f>nr_Arate_P1</f>
        <v/>
      </c>
      <c r="F23" s="77" t="n">
        <v>1e-06</v>
      </c>
      <c r="G23" s="187">
        <f>IF(NOT(orc_fp),"N/A",IF(ABS($E23-$D23)&lt;=$F23,"PASS","FAIL"))</f>
        <v/>
      </c>
    </row>
    <row r="24">
      <c r="A24" s="77" t="n">
        <v>19</v>
      </c>
      <c r="B24" s="6" t="inlineStr">
        <is>
          <t>Oracle tie</t>
        </is>
      </c>
      <c r="C24" s="20" t="inlineStr">
        <is>
          <t>A_mod(P) ties oracle</t>
        </is>
      </c>
      <c r="D24" s="186">
        <f>orc_amod_p</f>
        <v/>
      </c>
      <c r="E24" s="186">
        <f>nr_Amod_P</f>
        <v/>
      </c>
      <c r="F24" s="77" t="n">
        <v>1e-06</v>
      </c>
      <c r="G24" s="187">
        <f>IF(NOT(orc_fp),"N/A",IF(ABS($E24-$D24)&lt;=$F24,"PASS","FAIL"))</f>
        <v/>
      </c>
    </row>
    <row r="25">
      <c r="A25" s="77" t="n">
        <v>20</v>
      </c>
      <c r="B25" s="6" t="inlineStr">
        <is>
          <t>Oracle tie</t>
        </is>
      </c>
      <c r="C25" s="20" t="inlineStr">
        <is>
          <t>CY 2027 plan LR ties oracle (monthly convention)</t>
        </is>
      </c>
      <c r="D25" s="186">
        <f>orc_cylr_p</f>
        <v/>
      </c>
      <c r="E25" s="186">
        <f>nr_CYLR_P</f>
        <v/>
      </c>
      <c r="F25" s="77" t="n">
        <v>1e-06</v>
      </c>
      <c r="G25" s="187">
        <f>IF(NOT(orc_fp),"N/A",IF(ABS($E25-$D25)&lt;=$F25,"PASS","FAIL"))</f>
        <v/>
      </c>
    </row>
    <row r="26">
      <c r="A26" s="77" t="n">
        <v>21</v>
      </c>
      <c r="B26" s="6" t="inlineStr">
        <is>
          <t>Oracle tie</t>
        </is>
      </c>
      <c r="C26" s="20" t="inlineStr">
        <is>
          <t>CY 2028 LR ties oracle</t>
        </is>
      </c>
      <c r="D26" s="186">
        <f>orc_cylr_p1</f>
        <v/>
      </c>
      <c r="E26" s="186">
        <f>nr_CYLR_P1</f>
        <v/>
      </c>
      <c r="F26" s="77" t="n">
        <v>1e-06</v>
      </c>
      <c r="G26" s="187">
        <f>IF(NOT(orc_fp),"N/A",IF(ABS($E26-$D26)&lt;=$F26,"PASS","FAIL"))</f>
        <v/>
      </c>
    </row>
    <row r="27">
      <c r="A27" s="77" t="n">
        <v>22</v>
      </c>
      <c r="B27" s="6" t="inlineStr">
        <is>
          <t>Oracle tie</t>
        </is>
      </c>
      <c r="C27" s="20" t="inlineStr">
        <is>
          <t>CY 2027 plan LR within 0.10 pts of continuous closed form</t>
        </is>
      </c>
      <c r="D27" s="186">
        <f>orc_cylr_p_cont</f>
        <v/>
      </c>
      <c r="E27" s="186">
        <f>nr_CYLR_P</f>
        <v/>
      </c>
      <c r="F27" s="77" t="n">
        <v>0.001</v>
      </c>
      <c r="G27" s="187">
        <f>IF(NOT(orc_fp),"N/A",IF(ABS($E27-$D27)&lt;=$F27,"PASS","FAIL"))</f>
        <v/>
      </c>
    </row>
    <row r="28">
      <c r="A28" s="77" t="n">
        <v>23</v>
      </c>
      <c r="B28" s="6" t="inlineStr">
        <is>
          <t>Oracle tie</t>
        </is>
      </c>
      <c r="C28" s="20" t="inlineStr">
        <is>
          <t>Solver Mode A returns the seeded planned change (acceptance §11.7)</t>
        </is>
      </c>
      <c r="D28" s="190">
        <f>orc_solver_r</f>
        <v/>
      </c>
      <c r="E28" s="190">
        <f>IF(ISNUMBER(nr_SolverR),nr_SolverR,-999)</f>
        <v/>
      </c>
      <c r="F28" s="77" t="n">
        <v>1e-06</v>
      </c>
      <c r="G28" s="187">
        <f>IF(OR(NOT(orc_fp),ABS('Solver'!$C$7-orc_cylr_p)&gt;0.000001,'Solver'!$C$8&lt;&gt;DATE(nr_PlanYear,4,1)),"N/A",IF(ABS($E28-$D28)&lt;=$F28,"PASS","FAIL"))</f>
        <v/>
      </c>
    </row>
    <row r="29">
      <c r="A29" s="77" t="n">
        <v>24</v>
      </c>
      <c r="B29" s="6" t="inlineStr">
        <is>
          <t>Oracle tie</t>
        </is>
      </c>
      <c r="C29" s="20" t="inlineStr">
        <is>
          <t>Solver Mode B April row equals the base CY plan LR</t>
        </is>
      </c>
      <c r="D29" s="102">
        <f>orc_cylr_p</f>
        <v/>
      </c>
      <c r="E29" s="102">
        <f>'Solver'!$G$32</f>
        <v/>
      </c>
      <c r="F29" s="77" t="n">
        <v>1e-06</v>
      </c>
      <c r="G29" s="187">
        <f>IF(OR(NOT(orc_fp),'Solver'!$C$26&lt;&gt;0.05),"N/A",IF(ABS($E29-$D29)&lt;=$F29,"PASS","FAIL"))</f>
        <v/>
      </c>
    </row>
    <row r="30">
      <c r="A30" s="77" t="n">
        <v>25</v>
      </c>
      <c r="B30" s="6" t="inlineStr">
        <is>
          <t>Input sanity</t>
        </is>
      </c>
      <c r="C30" s="20" t="inlineStr">
        <is>
          <t>Achievement % within [0%, 150%]</t>
        </is>
      </c>
      <c r="D30" s="186">
        <f>0</f>
        <v/>
      </c>
      <c r="E30" s="186">
        <f>COUNTIF(rl_ach,"&gt;1.5")+COUNTIF(rl_ach,"&lt;0")</f>
        <v/>
      </c>
      <c r="F30" s="77" t="n">
        <v>0</v>
      </c>
      <c r="G30" s="187">
        <f>IF(ABS($E30-$D30)&lt;=$F30,"PASS","FAIL")</f>
        <v/>
      </c>
    </row>
    <row r="31">
      <c r="A31" s="77" t="n">
        <v>26</v>
      </c>
      <c r="B31" s="6" t="inlineStr">
        <is>
          <t>Input sanity</t>
        </is>
      </c>
      <c r="C31" s="20" t="inlineStr">
        <is>
          <t>Schedule mods (M_ind, M_0, M_1) within [0.5, 1.5]</t>
        </is>
      </c>
      <c r="D31" s="186">
        <f>0</f>
        <v/>
      </c>
      <c r="E31" s="186">
        <f>COUNTIF(lr_mind,"&gt;1.5")+COUNTIF(lr_mind,"&lt;0.5")+COUNTIF(lr_m0,"&gt;1.5")+COUNTIF(lr_m0,"&lt;0.5")+COUNTIF(lr_m1,"&gt;1.5")+COUNTIF(lr_m1,"&lt;0.5")</f>
        <v/>
      </c>
      <c r="F31" s="77" t="n">
        <v>0</v>
      </c>
      <c r="G31" s="187">
        <f>IF(ABS($E31-$D31)&lt;=$F31,"PASS","FAIL")</f>
        <v/>
      </c>
    </row>
    <row r="32">
      <c r="A32" s="77" t="n">
        <v>27</v>
      </c>
      <c r="B32" s="6" t="inlineStr">
        <is>
          <t>Input sanity</t>
        </is>
      </c>
      <c r="C32" s="20" t="inlineStr">
        <is>
          <t>Optional mods (M_prior, M_2) within [0.5, 1.5]</t>
        </is>
      </c>
      <c r="D32" s="186">
        <f>0</f>
        <v/>
      </c>
      <c r="E32" s="186">
        <f>COUNTIF(lr_mprior,"&gt;1.5")+COUNTIF(lr_mprior,"&lt;0.5")+COUNTIF(lr_m2,"&gt;1.5")+COUNTIF(lr_m2,"&lt;0.5")</f>
        <v/>
      </c>
      <c r="F32" s="77" t="n">
        <v>0</v>
      </c>
      <c r="G32" s="187">
        <f>IF(ABS($E32-$D32)&lt;=$F32,"PASS","FAIL")</f>
        <v/>
      </c>
    </row>
    <row r="33">
      <c r="A33" s="77" t="n">
        <v>28</v>
      </c>
      <c r="B33" s="6" t="inlineStr">
        <is>
          <t>Input sanity</t>
        </is>
      </c>
      <c r="C33" s="20" t="inlineStr">
        <is>
          <t>Every effective change keeps 1 + r &gt; 0</t>
        </is>
      </c>
      <c r="D33" s="186">
        <f>0</f>
        <v/>
      </c>
      <c r="E33" s="186">
        <f>COUNTIF(rl_reff,"&lt;=-1")</f>
        <v/>
      </c>
      <c r="F33" s="77" t="n">
        <v>0</v>
      </c>
      <c r="G33" s="187">
        <f>IF(ABS($E33-$D33)&lt;=$F33,"PASS","FAIL")</f>
        <v/>
      </c>
    </row>
    <row r="34">
      <c r="A34" s="77" t="n">
        <v>29</v>
      </c>
      <c r="B34" s="6" t="inlineStr">
        <is>
          <t>Input sanity</t>
        </is>
      </c>
      <c r="C34" s="20" t="inlineStr">
        <is>
          <t>M_0 as-of dates precede 12/31 of the plan year</t>
        </is>
      </c>
      <c r="D34" s="186">
        <f>0</f>
        <v/>
      </c>
      <c r="E34" s="186">
        <f>SUMPRODUCT((lr_key&lt;&gt;"")*(N(lr_m0asof)&gt;=DATE(nr_PlanYear,12,31))*1)</f>
        <v/>
      </c>
      <c r="F34" s="77" t="n">
        <v>0</v>
      </c>
      <c r="G34" s="187">
        <f>IF(ABS($E34-$D34)&lt;=$F34,"PASS","FAIL")</f>
        <v/>
      </c>
    </row>
    <row r="35">
      <c r="A35" s="77" t="n">
        <v>30</v>
      </c>
      <c r="B35" s="6" t="inlineStr">
        <is>
          <t>Input sanity</t>
        </is>
      </c>
      <c r="C35" s="20" t="inlineStr">
        <is>
          <t>Rate-log status is taken/planned on every populated row</t>
        </is>
      </c>
      <c r="D35" s="186">
        <f>0</f>
        <v/>
      </c>
      <c r="E35" s="186">
        <f>SUMPRODUCT((rl_key&lt;&gt;"")*(rl_status&lt;&gt;"taken")*(rl_status&lt;&gt;"planned")*1)</f>
        <v/>
      </c>
      <c r="F35" s="77" t="n">
        <v>0</v>
      </c>
      <c r="G35" s="187">
        <f>IF(ABS($E35-$D35)&lt;=$F35,"PASS","FAIL")</f>
        <v/>
      </c>
    </row>
    <row r="36">
      <c r="A36" s="77" t="n">
        <v>31</v>
      </c>
      <c r="B36" s="6" t="inlineStr">
        <is>
          <t>Input sanity</t>
        </is>
      </c>
      <c r="C36" s="20" t="inlineStr">
        <is>
          <t>LR basis is current/proposed (blank treated as current)</t>
        </is>
      </c>
      <c r="D36" s="186">
        <f>0</f>
        <v/>
      </c>
      <c r="E36" s="186">
        <f>SUMPRODUCT((lr_basis&lt;&gt;"current")*(lr_basis&lt;&gt;"proposed")*(lr_basis&lt;&gt;"")*1)</f>
        <v/>
      </c>
      <c r="F36" s="77" t="n">
        <v>0</v>
      </c>
      <c r="G36" s="187">
        <f>IF(ABS($E36-$D36)&lt;=$F36,"PASS","FAIL")</f>
        <v/>
      </c>
    </row>
    <row r="37">
      <c r="A37" s="77" t="n">
        <v>32</v>
      </c>
      <c r="B37" s="6" t="inlineStr">
        <is>
          <t>Input sanity</t>
        </is>
      </c>
      <c r="C37" s="20" t="inlineStr">
        <is>
          <t>Plan EP is non-negative</t>
        </is>
      </c>
      <c r="D37" s="186">
        <f>0</f>
        <v/>
      </c>
      <c r="E37" s="186">
        <f>COUNTIF(lr_ep,"&lt;0")</f>
        <v/>
      </c>
      <c r="F37" s="77" t="n">
        <v>0</v>
      </c>
      <c r="G37" s="187">
        <f>IF(ABS($E37-$D37)&lt;=$F37,"PASS","FAIL")</f>
        <v/>
      </c>
    </row>
    <row r="38">
      <c r="A38" s="77" t="n">
        <v>33</v>
      </c>
      <c r="B38" s="6" t="inlineStr">
        <is>
          <t>Input sanity</t>
        </is>
      </c>
      <c r="C38" s="20" t="inlineStr">
        <is>
          <t>Net rate selections within [-50%, +100%]</t>
        </is>
      </c>
      <c r="D38" s="186">
        <f>0</f>
        <v/>
      </c>
      <c r="E38" s="186">
        <f>COUNTIF(lr_netp,"&gt;1")+COUNTIF(lr_netp,"&lt;-0.5")+COUNTIF(lr_netp1,"&gt;1")+COUNTIF(lr_netp1,"&lt;-0.5")</f>
        <v/>
      </c>
      <c r="F38" s="77" t="n">
        <v>0</v>
      </c>
      <c r="G38" s="187">
        <f>IF(ABS($E38-$D38)&lt;=$F38,"PASS","FAIL")</f>
        <v/>
      </c>
    </row>
    <row r="39">
      <c r="A39" s="77" t="n">
        <v>34</v>
      </c>
      <c r="B39" s="6" t="inlineStr">
        <is>
          <t>Advisory</t>
        </is>
      </c>
      <c r="C39" s="20" t="inlineStr">
        <is>
          <t>Considered flags appear only on taken rows (§3.2.7)</t>
        </is>
      </c>
      <c r="D39" s="186">
        <f>0</f>
        <v/>
      </c>
      <c r="E39" s="186">
        <f>SUMPRODUCT((rl_status="planned")*(rl_cons="Y")*1)</f>
        <v/>
      </c>
      <c r="F39" s="77" t="n">
        <v>0</v>
      </c>
      <c r="G39" s="187">
        <f>IF(ABS($E39-$D39)&lt;=$F39,"PASS","WARN")</f>
        <v/>
      </c>
    </row>
    <row r="40">
      <c r="A40" s="77" t="n">
        <v>35</v>
      </c>
      <c r="B40" s="6" t="inlineStr">
        <is>
          <t>Advisory</t>
        </is>
      </c>
      <c r="C40" s="20" t="inlineStr">
        <is>
          <t>No two changes share a BU|LOB cohort month (exact-blend support, D4)</t>
        </is>
      </c>
      <c r="D40" s="186">
        <f>0</f>
        <v/>
      </c>
      <c r="E40" s="186">
        <f>SUM(rl_dup)</f>
        <v/>
      </c>
      <c r="F40" s="77" t="n">
        <v>0</v>
      </c>
      <c r="G40" s="187">
        <f>IF(ABS($E40-$D40)&lt;=$F40,"PASS","WARN")</f>
        <v/>
      </c>
    </row>
    <row r="41">
      <c r="A41" s="77" t="n">
        <v>36</v>
      </c>
      <c r="B41" s="6" t="inlineStr">
        <is>
          <t>Advisory</t>
        </is>
      </c>
      <c r="C41" s="20" t="inlineStr">
        <is>
          <t>Rate-change dates within the Jan (P-2) .. Dec (P+1) engine window</t>
        </is>
      </c>
      <c r="D41" s="186">
        <f>0</f>
        <v/>
      </c>
      <c r="E41" s="186">
        <f>COUNTIF(rl_eff,"&lt;"&amp;DATE(nr_PlanYear-2,1,1))+COUNTIF(rl_eff,"&gt;"&amp;DATE(nr_PlanYear+1,12,31))</f>
        <v/>
      </c>
      <c r="F41" s="77" t="n">
        <v>0</v>
      </c>
      <c r="G41" s="187">
        <f>IF(ABS($E41-$D41)&lt;=$F41,"PASS","WARN")</f>
        <v/>
      </c>
    </row>
    <row r="42">
      <c r="A42" s="77" t="n">
        <v>37</v>
      </c>
      <c r="B42" s="6" t="inlineStr">
        <is>
          <t>Advisory</t>
        </is>
      </c>
      <c r="C42" s="20" t="inlineStr">
        <is>
          <t>A_other &lt;&gt; 1 carries a label</t>
        </is>
      </c>
      <c r="D42" s="186">
        <f>0</f>
        <v/>
      </c>
      <c r="E42" s="186">
        <f>SUMPRODUCT((lr_key&lt;&gt;"")*(lr_aother&lt;&gt;"")*(lr_aother&lt;&gt;1)*(lr_aotherlbl="")*1)</f>
        <v/>
      </c>
      <c r="F42" s="77" t="n">
        <v>0</v>
      </c>
      <c r="G42" s="187">
        <f>IF(ABS($E42-$D42)&lt;=$F42,"PASS","WARN")</f>
        <v/>
      </c>
    </row>
    <row r="43">
      <c r="A43" s="77" t="n">
        <v>38</v>
      </c>
      <c r="B43" s="6" t="inlineStr">
        <is>
          <t>Advisory</t>
        </is>
      </c>
      <c r="C43" s="20" t="inlineStr">
        <is>
          <t>Populated seasonality rows have a positive weight sum</t>
        </is>
      </c>
      <c r="D43" s="186">
        <f>0</f>
        <v/>
      </c>
      <c r="E43" s="186">
        <f>SUMPRODUCT((se_state&lt;&gt;"")*(N(se_sum)=0)*1)</f>
        <v/>
      </c>
      <c r="F43" s="77" t="n">
        <v>0</v>
      </c>
      <c r="G43" s="187">
        <f>IF(ABS($E43-$D43)&lt;=$F43,"PASS","WARN")</f>
        <v/>
      </c>
    </row>
    <row r="44">
      <c r="A44" s="77" t="n">
        <v>39</v>
      </c>
      <c r="B44" s="6" t="inlineStr">
        <is>
          <t>Advisory</t>
        </is>
      </c>
      <c r="C44" s="20" t="inlineStr">
        <is>
          <t>Considered? column is Y/N (blank counts as N)</t>
        </is>
      </c>
      <c r="D44" s="186">
        <f>0</f>
        <v/>
      </c>
      <c r="E44" s="186">
        <f>SUMPRODUCT((rl_key&lt;&gt;"")*(rl_cons&lt;&gt;"Y")*(rl_cons&lt;&gt;"N")*(rl_cons&lt;&gt;"")*1)</f>
        <v/>
      </c>
      <c r="F44" s="77" t="n">
        <v>0</v>
      </c>
      <c r="G44" s="187">
        <f>IF(ABS($E44-$D44)&lt;=$F44,"PASS","WARN")</f>
        <v/>
      </c>
    </row>
    <row r="45">
      <c r="A45" s="77" t="n">
        <v>40</v>
      </c>
      <c r="B45" s="6" t="inlineStr">
        <is>
          <t>Advisory</t>
        </is>
      </c>
      <c r="C45" s="20" t="inlineStr">
        <is>
          <t>No duplicate BU x state combos in tbl_LR (roster integrity)</t>
        </is>
      </c>
      <c r="D45" s="186">
        <f>0</f>
        <v/>
      </c>
      <c r="E45" s="186">
        <f>SUMPRODUCT((lr_key&lt;&gt;"")*(COUNTIF(lr_key,lr_key)&gt;1)*1)</f>
        <v/>
      </c>
      <c r="F45" s="77" t="n">
        <v>0</v>
      </c>
      <c r="G45" s="187">
        <f>IF(ABS($E45-$D45)&lt;=$F45,"PASS","WARN")</f>
        <v/>
      </c>
    </row>
    <row r="46">
      <c r="A46" s="77" t="n">
        <v>41</v>
      </c>
      <c r="B46" s="6" t="inlineStr">
        <is>
          <t>Advisory</t>
        </is>
      </c>
      <c r="C46" s="20" t="inlineStr">
        <is>
          <t>Net selections pair with an active mod adjustment (else rate-only)</t>
        </is>
      </c>
      <c r="D46" s="186">
        <f>0</f>
        <v/>
      </c>
      <c r="E46" s="186">
        <f>SUMPRODUCT((lr_key&lt;&gt;"")*(1-ISBLANK(lr_netp))*(lr_modadj="OFF")*1)</f>
        <v/>
      </c>
      <c r="F46" s="77" t="n">
        <v>0</v>
      </c>
      <c r="G46" s="187">
        <f>IF(ABS($E46-$D46)&lt;=$F46,"PASS","WARN")</f>
        <v/>
      </c>
    </row>
    <row r="47">
      <c r="A47" s="77" t="n">
        <v>42</v>
      </c>
      <c r="B47" s="6" t="inlineStr">
        <is>
          <t>Advisory</t>
        </is>
      </c>
      <c r="C47" s="20" t="inlineStr">
        <is>
          <t>No planned rows on/after 1/1/P are superseded by a net selection</t>
        </is>
      </c>
      <c r="D47" s="186">
        <f>0</f>
        <v/>
      </c>
      <c r="E47" s="186">
        <f>IF(NOT(nr_NetMode),0,COUNTIFS(rl_key,nr_SelKey,rl_status,"planned",rl_eff,"&gt;="&amp;DATE(nr_PlanYear,1,1)))</f>
        <v/>
      </c>
      <c r="F47" s="77" t="n">
        <v>0</v>
      </c>
      <c r="G47" s="187">
        <f>IF(ABS($E47-$D47)&lt;=$F47,"PASS","WARN")</f>
        <v/>
      </c>
    </row>
    <row r="48">
      <c r="A48" s="77" t="n">
        <v>43</v>
      </c>
      <c r="B48" s="6" t="inlineStr">
        <is>
          <t>Advisory</t>
        </is>
      </c>
      <c r="C48" s="20" t="inlineStr">
        <is>
          <t>Selected BU|State exists in tbl_LR</t>
        </is>
      </c>
      <c r="D48" s="186">
        <f>0</f>
        <v/>
      </c>
      <c r="E48" s="186">
        <f>IF(nr_SelOK,0,1)</f>
        <v/>
      </c>
      <c r="F48" s="77" t="n">
        <v>0</v>
      </c>
      <c r="G48" s="187">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191" t="inlineStr">
        <is>
          <t>A</t>
        </is>
      </c>
      <c r="C69" s="192" t="inlineStr">
        <is>
          <t>#</t>
        </is>
      </c>
      <c r="D69" s="7" t="inlineStr">
        <is>
          <t>Cohort number, 1..48.</t>
        </is>
      </c>
    </row>
    <row r="70" ht="19" customHeight="1">
      <c r="B70" s="191" t="inlineStr">
        <is>
          <t>B-D</t>
        </is>
      </c>
      <c r="C70" s="192" t="inlineStr">
        <is>
          <t>Written month / Month end / Days</t>
        </is>
      </c>
      <c r="D70" s="7" t="inlineStr">
        <is>
          <t>The month this cohort of policies is written, plus calendar helpers for the mid-month split.</t>
        </is>
      </c>
    </row>
    <row r="71" ht="19" customHeight="1">
      <c r="B71" s="191" t="inlineStr">
        <is>
          <t>E</t>
        </is>
      </c>
      <c r="C71" s="192" t="inlineStr">
        <is>
          <t>Mo#</t>
        </is>
      </c>
      <c r="D71" s="7" t="inlineStr">
        <is>
          <t>Calendar month number — drives the seasonality weight lookup.</t>
        </is>
      </c>
    </row>
    <row r="72" ht="32" customHeight="1">
      <c r="B72" s="191" t="inlineStr">
        <is>
          <t>F</t>
        </is>
      </c>
      <c r="C72" s="192" t="inlineStr">
        <is>
          <t>Mid-month</t>
        </is>
      </c>
      <c r="D72" s="7" t="inlineStr">
        <is>
          <t>The serial date at the middle of the writing month; the cohort writes there and its mod is sampled there.</t>
        </is>
      </c>
    </row>
    <row r="73" ht="19" customHeight="1">
      <c r="B73" s="191" t="inlineStr">
        <is>
          <t>G</t>
        </is>
      </c>
      <c r="C73" s="192" t="inlineStr">
        <is>
          <t>Abs mo#</t>
        </is>
      </c>
      <c r="D73" s="7" t="inlineStr">
        <is>
          <t>Absolute month index (year x 12 + month - 1); the earning matrix is keyed on it.</t>
        </is>
      </c>
    </row>
    <row r="74" ht="32" customHeight="1">
      <c r="B74" s="191" t="inlineStr">
        <is>
          <t>H</t>
        </is>
      </c>
      <c r="C74" s="192" t="inlineStr">
        <is>
          <t>Weight w</t>
        </is>
      </c>
      <c r="D74" s="7" t="inlineStr">
        <is>
          <t>Written-exposure weight: 1.00 under uniform writings, or the state's normalized seasonality weight.</t>
        </is>
      </c>
    </row>
    <row r="75" ht="19" customHeight="1">
      <c r="B75" s="191" t="inlineStr">
        <is>
          <t>I</t>
        </is>
      </c>
      <c r="C75" s="192" t="inlineStr">
        <is>
          <t>Index before mo (W_pre)</t>
        </is>
      </c>
      <c r="D75" s="7" t="inlineStr">
        <is>
          <t>Cumulative rate index from changes effective strictly before the month.</t>
        </is>
      </c>
    </row>
    <row r="76" ht="19" customHeight="1">
      <c r="B76" s="191" t="inlineStr">
        <is>
          <t>J</t>
        </is>
      </c>
      <c r="C76" s="192" t="inlineStr">
        <is>
          <t>Index at mo end (W_post)</t>
        </is>
      </c>
      <c r="D76" s="7" t="inlineStr">
        <is>
          <t>Cumulative rate index including changes through month end.</t>
        </is>
      </c>
    </row>
    <row r="77" ht="19" customHeight="1">
      <c r="B77" s="191" t="inlineStr">
        <is>
          <t>K</t>
        </is>
      </c>
      <c r="C77" s="192" t="inlineStr">
        <is>
          <t># chgs in mo</t>
        </is>
      </c>
      <c r="D77" s="7" t="inlineStr">
        <is>
          <t>Count of this combo's rate changes effective inside the month.</t>
        </is>
      </c>
    </row>
    <row r="78" ht="19" customHeight="1">
      <c r="B78" s="191" t="inlineStr">
        <is>
          <t>L</t>
        </is>
      </c>
      <c r="C78" s="192" t="inlineStr">
        <is>
          <t>Days after 1st chg</t>
        </is>
      </c>
      <c r="D78" s="7" t="inlineStr">
        <is>
          <t>Days in the month on/after the first in-month change date.</t>
        </is>
      </c>
    </row>
    <row r="79" ht="19" customHeight="1">
      <c r="B79" s="191" t="inlineStr">
        <is>
          <t>M</t>
        </is>
      </c>
      <c r="C79" s="192" t="inlineStr">
        <is>
          <t>Split p</t>
        </is>
      </c>
      <c r="D79" s="7" t="inlineStr">
        <is>
          <t>Day-weighted share of the month's writings at the post-change level: p = L / days in month.</t>
        </is>
      </c>
    </row>
    <row r="80" ht="19" customHeight="1">
      <c r="B80" s="191" t="inlineStr">
        <is>
          <t>N</t>
        </is>
      </c>
      <c r="C80" s="192" t="inlineStr">
        <is>
          <t>Written rate index (W)</t>
        </is>
      </c>
      <c r="D80" s="7" t="inlineStr">
        <is>
          <t>The cohort's blended written index: (1 - p) x W_pre + p x W_post.</t>
        </is>
      </c>
    </row>
    <row r="81" ht="19" customHeight="1">
      <c r="B81" s="191" t="inlineStr">
        <is>
          <t>O</t>
        </is>
      </c>
      <c r="C81" s="192" t="inlineStr">
        <is>
          <t>Written mod (M_w)</t>
        </is>
      </c>
      <c r="D81" s="7" t="inlineStr">
        <is>
          <t>The written-mod path sampled at the cohort's mid-month (computed on the Mod Engine).</t>
        </is>
      </c>
    </row>
    <row r="82" ht="32" customHeight="1">
      <c r="B82" s="191" t="inlineStr">
        <is>
          <t>P-R</t>
        </is>
      </c>
      <c r="C82" s="192" t="inlineStr">
        <is>
          <t>Earned in P-1 / P / P+1 (ec)</t>
        </is>
      </c>
      <c r="D82" s="7" t="inlineStr">
        <is>
          <t>The share of the cohort's premium each calendar year earns: ec = C(end) - C(start - 1) with C(o) = MIN(1, MAX(0, (o + 0.5) / T)).</t>
        </is>
      </c>
    </row>
    <row r="83" ht="32" customHeight="1">
      <c r="B83" s="191" t="inlineStr">
        <is>
          <t>S</t>
        </is>
      </c>
      <c r="C83" s="192" t="inlineStr">
        <is>
          <t>Hist net price (q)</t>
        </is>
      </c>
      <c r="D83" s="7" t="inlineStr">
        <is>
          <t>W x M_w / M_ind — the cohort's combined net price as modeled (used under a net rate selection).</t>
        </is>
      </c>
    </row>
    <row r="84" ht="19" customHeight="1">
      <c r="B84" s="191" t="inlineStr">
        <is>
          <t>T</t>
        </is>
      </c>
      <c r="C84" s="192" t="inlineStr">
        <is>
          <t>Net path (Q)</t>
        </is>
      </c>
      <c r="D84" s="7" t="inlineStr">
        <is>
          <t>Equals q before 1/1/P; from 1/1/P each cohort renews at Q(k - 12) x (1 + net selection).</t>
        </is>
      </c>
    </row>
    <row r="85" ht="32" customHeight="1">
      <c r="B85" s="191" t="inlineStr">
        <is>
          <t>U</t>
        </is>
      </c>
      <c r="C85" s="192" t="inlineStr">
        <is>
          <t>Index in force</t>
        </is>
      </c>
      <c r="D85" s="7" t="inlineStr">
        <is>
          <t>What the aggregates actually read: the net path Q under a net selection, the written index W otherwise.</t>
        </is>
      </c>
    </row>
    <row r="86" ht="32" customHeight="1">
      <c r="B86" s="191" t="inlineStr">
        <is>
          <t>rows 66-73</t>
        </is>
      </c>
      <c r="C86" s="192"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193" t="inlineStr">
        <is>
          <t>att_actdate</t>
        </is>
      </c>
      <c r="C91" s="6" t="inlineStr">
        <is>
          <t>Attribution!$F$14:$F$21</t>
        </is>
      </c>
      <c r="D91" s="6" t="inlineStr">
        <is>
          <t>Attribution: actual effective date per planned row (blank = plan)</t>
        </is>
      </c>
    </row>
    <row r="92">
      <c r="B92" s="193" t="inlineStr">
        <is>
          <t>att_actlr</t>
        </is>
      </c>
      <c r="C92" s="6" t="inlineStr">
        <is>
          <t>Attribution!$C$10</t>
        </is>
      </c>
      <c r="D92" s="6" t="inlineStr">
        <is>
          <t>Attribution: actual CY LR outcome</t>
        </is>
      </c>
    </row>
    <row r="93">
      <c r="B93" s="193" t="inlineStr">
        <is>
          <t>att_actpct</t>
        </is>
      </c>
      <c r="C93" s="6" t="inlineStr">
        <is>
          <t>Attribution!$E$14:$E$21</t>
        </is>
      </c>
      <c r="D93" s="6" t="inlineStr">
        <is>
          <t>Attribution: actual achieved total change per planned row (blank = plan)</t>
        </is>
      </c>
    </row>
    <row r="94">
      <c r="B94" s="193" t="inlineStr">
        <is>
          <t>att_asof</t>
        </is>
      </c>
      <c r="C94" s="6" t="inlineStr">
        <is>
          <t>Attribution!$C$7</t>
        </is>
      </c>
      <c r="D94" s="6" t="inlineStr">
        <is>
          <t>Attribution: actual as-of date (blank = plan)</t>
        </is>
      </c>
    </row>
    <row r="95">
      <c r="B95" s="193" t="inlineStr">
        <is>
          <t>att_m0</t>
        </is>
      </c>
      <c r="C95" s="6" t="inlineStr">
        <is>
          <t>Attribution!$C$6</t>
        </is>
      </c>
      <c r="D95" s="6" t="inlineStr">
        <is>
          <t>Attribution: actual current written mod (blank = plan)</t>
        </is>
      </c>
    </row>
    <row r="96">
      <c r="B96" s="193" t="inlineStr">
        <is>
          <t>att_m1</t>
        </is>
      </c>
      <c r="C96" s="6" t="inlineStr">
        <is>
          <t>Attribution!$C$8</t>
        </is>
      </c>
      <c r="D96" s="6" t="inlineStr">
        <is>
          <t>Attribution: actual written mod at 12/31/P</t>
        </is>
      </c>
    </row>
    <row r="97">
      <c r="B97" s="193" t="inlineStr">
        <is>
          <t>att_m2</t>
        </is>
      </c>
      <c r="C97" s="6" t="inlineStr">
        <is>
          <t>Attribution!$C$9</t>
        </is>
      </c>
      <c r="D97" s="6" t="inlineStr">
        <is>
          <t>Attribution: actual written mod at 12/31/(P+1)</t>
        </is>
      </c>
    </row>
    <row r="98">
      <c r="B98" s="193" t="inlineStr">
        <is>
          <t>att_reconciles</t>
        </is>
      </c>
      <c r="C98" s="6" t="inlineStr">
        <is>
          <t>Attribution!$B$32</t>
        </is>
      </c>
      <c r="D98" s="6" t="inlineStr">
        <is>
          <t>Attribution reconciliation status</t>
        </is>
      </c>
    </row>
    <row r="99">
      <c r="B99" s="193" t="inlineStr">
        <is>
          <t>br_selrow</t>
        </is>
      </c>
      <c r="C99" s="6" t="inlineStr">
        <is>
          <t>Bridge!$F$5</t>
        </is>
      </c>
      <c r="D99" s="6" t="inlineStr">
        <is>
          <t>tbl_LR row of the selected combo (0 = absent)</t>
        </is>
      </c>
    </row>
    <row r="100">
      <c r="B100" s="193" t="inlineStr">
        <is>
          <t>calc_amod_p</t>
        </is>
      </c>
      <c r="C100" s="6" t="inlineStr">
        <is>
          <t>_calc!$K$4:$K$72</t>
        </is>
      </c>
      <c r="D100" s="6" t="inlineStr">
        <is>
          <t>A_mod(P) by combo</t>
        </is>
      </c>
    </row>
    <row r="101">
      <c r="B101" s="193" t="inlineStr">
        <is>
          <t>calc_amod_p1</t>
        </is>
      </c>
      <c r="C101" s="6" t="inlineStr">
        <is>
          <t>_calc!$L$4:$L$72</t>
        </is>
      </c>
      <c r="D101" s="6" t="inlineStr">
        <is>
          <t>A_mod(P+1) by combo</t>
        </is>
      </c>
    </row>
    <row r="102">
      <c r="B102" s="193" t="inlineStr">
        <is>
          <t>calc_arate_p</t>
        </is>
      </c>
      <c r="C102" s="6" t="inlineStr">
        <is>
          <t>_calc!$I$4:$I$72</t>
        </is>
      </c>
      <c r="D102" s="6" t="inlineStr">
        <is>
          <t>A_rate(P) by combo</t>
        </is>
      </c>
    </row>
    <row r="103">
      <c r="B103" s="193" t="inlineStr">
        <is>
          <t>calc_arate_p1</t>
        </is>
      </c>
      <c r="C103" s="6" t="inlineStr">
        <is>
          <t>_calc!$J$4:$J$72</t>
        </is>
      </c>
      <c r="D103" s="6" t="inlineStr">
        <is>
          <t>A_rate(P+1) by combo</t>
        </is>
      </c>
    </row>
    <row r="104">
      <c r="B104" s="193" t="inlineStr">
        <is>
          <t>calc_bu</t>
        </is>
      </c>
      <c r="C104" s="6" t="inlineStr">
        <is>
          <t>_calc!$U$4:$U$72</t>
        </is>
      </c>
      <c r="D104" s="6" t="inlineStr">
        <is>
          <t>BU echo, aligned with tbl_LR rows</t>
        </is>
      </c>
    </row>
    <row r="105">
      <c r="B105" s="193" t="inlineStr">
        <is>
          <t>calc_carry</t>
        </is>
      </c>
      <c r="C105" s="6" t="inlineStr">
        <is>
          <t>_calc!$Q$4:$Q$72</t>
        </is>
      </c>
      <c r="D105" s="6" t="inlineStr">
        <is>
          <t>Carryover into P+1 by combo</t>
        </is>
      </c>
    </row>
    <row r="106">
      <c r="B106" s="193" t="inlineStr">
        <is>
          <t>calc_crl</t>
        </is>
      </c>
      <c r="C106" s="6" t="inlineStr">
        <is>
          <t>_calc!$C$4:$C$72</t>
        </is>
      </c>
      <c r="D106" s="6" t="inlineStr">
        <is>
          <t>CRL_ind by combo</t>
        </is>
      </c>
    </row>
    <row r="107">
      <c r="B107" s="193" t="inlineStr">
        <is>
          <t>calc_cylr_p</t>
        </is>
      </c>
      <c r="C107" s="6" t="inlineStr">
        <is>
          <t>_calc!$N$4:$N$72</t>
        </is>
      </c>
      <c r="D107" s="6" t="inlineStr">
        <is>
          <t>CY plan LR(P) by combo</t>
        </is>
      </c>
    </row>
    <row r="108">
      <c r="B108" s="193" t="inlineStr">
        <is>
          <t>calc_cylr_p1</t>
        </is>
      </c>
      <c r="C108" s="6" t="inlineStr">
        <is>
          <t>_calc!$O$4:$O$72</t>
        </is>
      </c>
      <c r="D108" s="6" t="inlineStr">
        <is>
          <t>CY LR(P+1) indicative by combo</t>
        </is>
      </c>
    </row>
    <row r="109">
      <c r="B109" s="193" t="inlineStr">
        <is>
          <t>calc_echg</t>
        </is>
      </c>
      <c r="C109" s="6" t="inlineStr">
        <is>
          <t>_calc!$P$4:$P$72</t>
        </is>
      </c>
      <c r="D109" s="6" t="inlineStr">
        <is>
          <t>CY earned rate chg vs indication by combo</t>
        </is>
      </c>
    </row>
    <row r="110">
      <c r="B110" s="193" t="inlineStr">
        <is>
          <t>calc_ecy_p</t>
        </is>
      </c>
      <c r="C110" s="6" t="inlineStr">
        <is>
          <t>_calc!$E$4:$E$72</t>
        </is>
      </c>
      <c r="D110" s="6" t="inlineStr">
        <is>
          <t>E_CY(P) by combo</t>
        </is>
      </c>
    </row>
    <row r="111">
      <c r="B111" s="193" t="inlineStr">
        <is>
          <t>calc_ecy_p1</t>
        </is>
      </c>
      <c r="C111" s="6" t="inlineStr">
        <is>
          <t>_calc!$F$4:$F$72</t>
        </is>
      </c>
      <c r="D111" s="6" t="inlineStr">
        <is>
          <t>E_CY(P+1) by combo</t>
        </is>
      </c>
    </row>
    <row r="112">
      <c r="B112" s="193" t="inlineStr">
        <is>
          <t>calc_ecy_pm1</t>
        </is>
      </c>
      <c r="C112" s="6" t="inlineStr">
        <is>
          <t>_calc!$D$4:$D$72</t>
        </is>
      </c>
      <c r="D112" s="6" t="inlineStr">
        <is>
          <t>E_CY(P-1) by combo</t>
        </is>
      </c>
    </row>
    <row r="113">
      <c r="B113" s="193" t="inlineStr">
        <is>
          <t>calc_ep</t>
        </is>
      </c>
      <c r="C113" s="6" t="inlineStr">
        <is>
          <t>_calc!$V$4:$V$72</t>
        </is>
      </c>
      <c r="D113" s="6" t="inlineStr">
        <is>
          <t>Adjusted plan EP by combo (0 when blank)</t>
        </is>
      </c>
    </row>
    <row r="114">
      <c r="B114" s="193" t="inlineStr">
        <is>
          <t>calc_key</t>
        </is>
      </c>
      <c r="C114" s="6" t="inlineStr">
        <is>
          <t>_calc!$A$4:$A$72</t>
        </is>
      </c>
      <c r="D114" s="6" t="inlineStr">
        <is>
          <t>Combo keys, aligned 1:1 with tbl_LR rows</t>
        </is>
      </c>
    </row>
    <row r="115">
      <c r="B115" s="193" t="inlineStr">
        <is>
          <t>calc_lrcur</t>
        </is>
      </c>
      <c r="C115" s="6" t="inlineStr">
        <is>
          <t>_calc!$M$4:$M$72</t>
        </is>
      </c>
      <c r="D115" s="6" t="inlineStr">
        <is>
          <t>LR at current rate level by combo</t>
        </is>
      </c>
    </row>
    <row r="116">
      <c r="B116" s="193" t="inlineStr">
        <is>
          <t>calc_mbar_p</t>
        </is>
      </c>
      <c r="C116" s="6" t="inlineStr">
        <is>
          <t>_calc!$G$4:$G$72</t>
        </is>
      </c>
      <c r="D116" s="6" t="inlineStr">
        <is>
          <t>CY P earned mod by combo</t>
        </is>
      </c>
    </row>
    <row r="117">
      <c r="B117" s="193" t="inlineStr">
        <is>
          <t>calc_mbar_p1</t>
        </is>
      </c>
      <c r="C117" s="6" t="inlineStr">
        <is>
          <t>_calc!$H$4:$H$72</t>
        </is>
      </c>
      <c r="D117" s="6" t="inlineStr">
        <is>
          <t>CY P+1 earned mod by combo</t>
        </is>
      </c>
    </row>
    <row r="118">
      <c r="B118" s="193" t="inlineStr">
        <is>
          <t>calc_netmode</t>
        </is>
      </c>
      <c r="C118" s="6" t="inlineStr">
        <is>
          <t>_calc!$AK$4:$AK$72</t>
        </is>
      </c>
      <c r="D118" s="6" t="inlineStr">
        <is>
          <t>1 when the combo carries a net rate selection (D39)</t>
        </is>
      </c>
    </row>
    <row r="119">
      <c r="B119" s="193" t="inlineStr">
        <is>
          <t>calc_netx</t>
        </is>
      </c>
      <c r="C119" s="6" t="inlineStr">
        <is>
          <t>_calc!$AL$4:$AL$72</t>
        </is>
      </c>
      <c r="D119" s="6" t="inlineStr">
        <is>
          <t>Net selection x(P) by combo (0 when off)</t>
        </is>
      </c>
    </row>
    <row r="120">
      <c r="B120" s="193" t="inlineStr">
        <is>
          <t>calc_state</t>
        </is>
      </c>
      <c r="C120" s="6" t="inlineStr">
        <is>
          <t>_calc!$T$4:$T$72</t>
        </is>
      </c>
      <c r="D120" s="6" t="inlineStr">
        <is>
          <t>State echo, aligned with tbl_LR rows</t>
        </is>
      </c>
    </row>
    <row r="121">
      <c r="B121" s="193" t="inlineStr">
        <is>
          <t>calc_term</t>
        </is>
      </c>
      <c r="C121" s="6" t="inlineStr">
        <is>
          <t>_calc!$B$4:$B$72</t>
        </is>
      </c>
      <c r="D121" s="6" t="inlineStr">
        <is>
          <t>Policy term by combo</t>
        </is>
      </c>
    </row>
    <row r="122">
      <c r="B122" s="193" t="inlineStr">
        <is>
          <t>calc_trend</t>
        </is>
      </c>
      <c r="C122" s="6" t="inlineStr">
        <is>
          <t>_calc!$S$4:$S$72</t>
        </is>
      </c>
      <c r="D122" s="6" t="inlineStr">
        <is>
          <t>Effective P+1 net trend by combo (blank inherits the default)</t>
        </is>
      </c>
    </row>
    <row r="123">
      <c r="B123" s="193" t="inlineStr">
        <is>
          <t>calc_w_amod</t>
        </is>
      </c>
      <c r="C123" s="6" t="inlineStr">
        <is>
          <t>_calc!$AD$4:$AD$72</t>
        </is>
      </c>
      <c r="D123" s="6" t="inlineStr">
        <is>
          <t>A_mod(P) x EP</t>
        </is>
      </c>
    </row>
    <row r="124">
      <c r="B124" s="193" t="inlineStr">
        <is>
          <t>calc_w_amod1</t>
        </is>
      </c>
      <c r="C124" s="6" t="inlineStr">
        <is>
          <t>_calc!$AI$4:$AI$72</t>
        </is>
      </c>
      <c r="D124" s="6" t="inlineStr">
        <is>
          <t>A_mod(P+1) x EP</t>
        </is>
      </c>
    </row>
    <row r="125">
      <c r="B125" s="193" t="inlineStr">
        <is>
          <t>calc_w_arate</t>
        </is>
      </c>
      <c r="C125" s="6" t="inlineStr">
        <is>
          <t>_calc!$AB$4:$AB$72</t>
        </is>
      </c>
      <c r="D125" s="6" t="inlineStr">
        <is>
          <t>A_rate(P) x EP</t>
        </is>
      </c>
    </row>
    <row r="126">
      <c r="B126" s="193" t="inlineStr">
        <is>
          <t>calc_w_arate1</t>
        </is>
      </c>
      <c r="C126" s="6" t="inlineStr">
        <is>
          <t>_calc!$AH$4:$AH$72</t>
        </is>
      </c>
      <c r="D126" s="6" t="inlineStr">
        <is>
          <t>A_rate(P+1) x EP</t>
        </is>
      </c>
    </row>
    <row r="127">
      <c r="B127" s="193" t="inlineStr">
        <is>
          <t>calc_w_crl</t>
        </is>
      </c>
      <c r="C127" s="6" t="inlineStr">
        <is>
          <t>_calc!$Z$4:$Z$72</t>
        </is>
      </c>
      <c r="D127" s="6" t="inlineStr">
        <is>
          <t>CRL_ind x EP</t>
        </is>
      </c>
    </row>
    <row r="128">
      <c r="B128" s="193" t="inlineStr">
        <is>
          <t>calc_w_cylr</t>
        </is>
      </c>
      <c r="C128" s="6" t="inlineStr">
        <is>
          <t>_calc!$AF$4:$AF$72</t>
        </is>
      </c>
      <c r="D128" s="6" t="inlineStr">
        <is>
          <t>CY plan LR(P) x EP</t>
        </is>
      </c>
    </row>
    <row r="129">
      <c r="B129" s="193" t="inlineStr">
        <is>
          <t>calc_w_cylr1</t>
        </is>
      </c>
      <c r="C129" s="6" t="inlineStr">
        <is>
          <t>_calc!$AJ$4:$AJ$72</t>
        </is>
      </c>
      <c r="D129" s="6" t="inlineStr">
        <is>
          <t>CY LR(P+1) x EP</t>
        </is>
      </c>
    </row>
    <row r="130">
      <c r="B130" s="193" t="inlineStr">
        <is>
          <t>calc_w_ecy</t>
        </is>
      </c>
      <c r="C130" s="6" t="inlineStr">
        <is>
          <t>_calc!$AA$4:$AA$72</t>
        </is>
      </c>
      <c r="D130" s="6" t="inlineStr">
        <is>
          <t>E_CY(P) x EP</t>
        </is>
      </c>
    </row>
    <row r="131">
      <c r="B131" s="193" t="inlineStr">
        <is>
          <t>calc_w_lrcur</t>
        </is>
      </c>
      <c r="C131" s="6" t="inlineStr">
        <is>
          <t>_calc!$AE$4:$AE$72</t>
        </is>
      </c>
      <c r="D131" s="6" t="inlineStr">
        <is>
          <t>LR_current x EP</t>
        </is>
      </c>
    </row>
    <row r="132">
      <c r="B132" s="193" t="inlineStr">
        <is>
          <t>calc_w_m0</t>
        </is>
      </c>
      <c r="C132" s="6" t="inlineStr">
        <is>
          <t>_calc!$X$4:$X$72</t>
        </is>
      </c>
      <c r="D132" s="6" t="inlineStr">
        <is>
          <t>M_0 x EP</t>
        </is>
      </c>
    </row>
    <row r="133">
      <c r="B133" s="193" t="inlineStr">
        <is>
          <t>calc_w_m1</t>
        </is>
      </c>
      <c r="C133" s="6" t="inlineStr">
        <is>
          <t>_calc!$Y$4:$Y$72</t>
        </is>
      </c>
      <c r="D133" s="6" t="inlineStr">
        <is>
          <t>M_1 x EP</t>
        </is>
      </c>
    </row>
    <row r="134">
      <c r="B134" s="193" t="inlineStr">
        <is>
          <t>calc_w_mbar</t>
        </is>
      </c>
      <c r="C134" s="6" t="inlineStr">
        <is>
          <t>_calc!$AC$4:$AC$72</t>
        </is>
      </c>
      <c r="D134" s="6" t="inlineStr">
        <is>
          <t>Earned mod(P) x EP</t>
        </is>
      </c>
    </row>
    <row r="135">
      <c r="B135" s="193" t="inlineStr">
        <is>
          <t>calc_w_mind</t>
        </is>
      </c>
      <c r="C135" s="6" t="inlineStr">
        <is>
          <t>_calc!$W$4:$W$72</t>
        </is>
      </c>
      <c r="D135" s="6" t="inlineStr">
        <is>
          <t>M_ind x EP (State Summary weighting)</t>
        </is>
      </c>
    </row>
    <row r="136">
      <c r="B136" s="193" t="inlineStr">
        <is>
          <t>calc_w_trend</t>
        </is>
      </c>
      <c r="C136" s="6" t="inlineStr">
        <is>
          <t>_calc!$AG$4:$AG$72</t>
        </is>
      </c>
      <c r="D136" s="6" t="inlineStr">
        <is>
          <t>Net trend x EP</t>
        </is>
      </c>
    </row>
    <row r="137">
      <c r="B137" s="193" t="inlineStr">
        <is>
          <t>ck_overall</t>
        </is>
      </c>
      <c r="C137" s="6" t="inlineStr">
        <is>
          <t>Checks!$C$3</t>
        </is>
      </c>
      <c r="D137" s="6" t="inlineStr">
        <is>
          <t>Overall PASS/FAIL status (shown on Control)</t>
        </is>
      </c>
    </row>
    <row r="138">
      <c r="B138" s="193" t="inlineStr">
        <is>
          <t>lr_aother</t>
        </is>
      </c>
      <c r="C138" s="6" t="inlineStr">
        <is>
          <t>Inputs!$N$7:$N$75</t>
        </is>
      </c>
      <c r="D138" s="6" t="inlineStr">
        <is>
          <t>A_other manual adjustment factor</t>
        </is>
      </c>
    </row>
    <row r="139">
      <c r="B139" s="193" t="inlineStr">
        <is>
          <t>lr_aotherlbl</t>
        </is>
      </c>
      <c r="C139" s="6" t="inlineStr">
        <is>
          <t>Inputs!$O$7:$O$75</t>
        </is>
      </c>
      <c r="D139" s="6" t="inlineStr">
        <is>
          <t>Label required when A_other &lt;&gt; 1</t>
        </is>
      </c>
    </row>
    <row r="140">
      <c r="B140" s="193" t="inlineStr">
        <is>
          <t>lr_basis</t>
        </is>
      </c>
      <c r="C140" s="6" t="inlineStr">
        <is>
          <t>Inputs!$D$7:$D$75</t>
        </is>
      </c>
      <c r="D140" s="6" t="inlineStr">
        <is>
          <t>LR basis: current | proposed</t>
        </is>
      </c>
    </row>
    <row r="141">
      <c r="B141" s="193" t="inlineStr">
        <is>
          <t>lr_bu</t>
        </is>
      </c>
      <c r="C141" s="6" t="inlineStr">
        <is>
          <t>Inputs!$A$7:$A$75</t>
        </is>
      </c>
      <c r="D141" s="6" t="inlineStr">
        <is>
          <t>tbl_LR business unit</t>
        </is>
      </c>
    </row>
    <row r="142">
      <c r="B142" s="193" t="inlineStr">
        <is>
          <t>lr_ep</t>
        </is>
      </c>
      <c r="C142" s="6" t="inlineStr">
        <is>
          <t>Inputs!$L$7:$L$75</t>
        </is>
      </c>
      <c r="D142" s="6" t="inlineStr">
        <is>
          <t>ADJUSTED plan earned premium (000s) — the weight behind Portfolio totals and State Summary aggregates</t>
        </is>
      </c>
    </row>
    <row r="143">
      <c r="B143" s="193" t="inlineStr">
        <is>
          <t>lr_key</t>
        </is>
      </c>
      <c r="C143" s="6" t="inlineStr">
        <is>
          <t>Inputs!$T$7:$T$75</t>
        </is>
      </c>
      <c r="D143" s="6" t="inlineStr">
        <is>
          <t>Helper: concatenated BU|State key (right of the paste block, D40)</t>
        </is>
      </c>
    </row>
    <row r="144">
      <c r="B144" s="193" t="inlineStr">
        <is>
          <t>lr_lrproj</t>
        </is>
      </c>
      <c r="C144" s="6" t="inlineStr">
        <is>
          <t>Inputs!$C$7:$C$75</t>
        </is>
      </c>
      <c r="D144" s="6" t="inlineStr">
        <is>
          <t>Projected loss ratio from the indication</t>
        </is>
      </c>
    </row>
    <row r="145">
      <c r="B145" s="193" t="inlineStr">
        <is>
          <t>lr_m0</t>
        </is>
      </c>
      <c r="C145" s="6" t="inlineStr">
        <is>
          <t>Inputs!$G$7:$G$75</t>
        </is>
      </c>
      <c r="D145" s="6" t="inlineStr">
        <is>
          <t>M_0: current avg written mod</t>
        </is>
      </c>
    </row>
    <row r="146">
      <c r="B146" s="193" t="inlineStr">
        <is>
          <t>lr_m0asof</t>
        </is>
      </c>
      <c r="C146" s="6" t="inlineStr">
        <is>
          <t>Inputs!$H$7:$H$75</t>
        </is>
      </c>
      <c r="D146" s="6" t="inlineStr">
        <is>
          <t>M_0 as-of date (close of day)</t>
        </is>
      </c>
    </row>
    <row r="147">
      <c r="B147" s="193" t="inlineStr">
        <is>
          <t>lr_m1</t>
        </is>
      </c>
      <c r="C147" s="6" t="inlineStr">
        <is>
          <t>Inputs!$I$7:$I$75</t>
        </is>
      </c>
      <c r="D147" s="6" t="inlineStr">
        <is>
          <t>M_1: projected avg written mod at 12/31/P</t>
        </is>
      </c>
    </row>
    <row r="148">
      <c r="B148" s="193" t="inlineStr">
        <is>
          <t>lr_m2</t>
        </is>
      </c>
      <c r="C148" s="6" t="inlineStr">
        <is>
          <t>Inputs!$K$7:$K$75</t>
        </is>
      </c>
      <c r="D148" s="6" t="inlineStr">
        <is>
          <t>M_2: projected avg written mod at 12/31/(P+1); blank = M_1</t>
        </is>
      </c>
    </row>
    <row r="149">
      <c r="B149" s="193" t="inlineStr">
        <is>
          <t>lr_mind</t>
        </is>
      </c>
      <c r="C149" s="6" t="inlineStr">
        <is>
          <t>Inputs!$F$7:$F$75</t>
        </is>
      </c>
      <c r="D149" s="6" t="inlineStr">
        <is>
          <t>M_ind: avg schedule mod assumed in the indication</t>
        </is>
      </c>
    </row>
    <row r="150">
      <c r="B150" s="193" t="inlineStr">
        <is>
          <t>lr_modadj</t>
        </is>
      </c>
      <c r="C150" s="6" t="inlineStr">
        <is>
          <t>Inputs!$P$7:$P$75</t>
        </is>
      </c>
      <c r="D150" s="6" t="inlineStr">
        <is>
          <t>Per-combo mod adjustment toggle (ON/OFF)</t>
        </is>
      </c>
    </row>
    <row r="151">
      <c r="B151" s="193" t="inlineStr">
        <is>
          <t>lr_mprior</t>
        </is>
      </c>
      <c r="C151" s="6" t="inlineStr">
        <is>
          <t>Inputs!$J$7:$J$75</t>
        </is>
      </c>
      <c r="D151" s="6" t="inlineStr">
        <is>
          <t>M_prior: avg mod ~12 months before M_0 (optional)</t>
        </is>
      </c>
    </row>
    <row r="152">
      <c r="B152" s="193" t="inlineStr">
        <is>
          <t>lr_netp</t>
        </is>
      </c>
      <c r="C152" s="6" t="inlineStr">
        <is>
          <t>Inputs!$Q$7:$Q$75</t>
        </is>
      </c>
      <c r="D152" s="6" t="inlineStr">
        <is>
          <t>OPTIONAL net rate selection for P: YoY combined rate x mod target from 1/1/P (blank = explicit program, D39)</t>
        </is>
      </c>
    </row>
    <row r="153">
      <c r="B153" s="193" t="inlineStr">
        <is>
          <t>lr_netp1</t>
        </is>
      </c>
      <c r="C153" s="6" t="inlineStr">
        <is>
          <t>Inputs!$R$7:$R$75</t>
        </is>
      </c>
      <c r="D153" s="6" t="inlineStr">
        <is>
          <t>OPTIONAL net selection for P+1 (blank = carry the P selection)</t>
        </is>
      </c>
    </row>
    <row r="154">
      <c r="B154" s="193" t="inlineStr">
        <is>
          <t>lr_s</t>
        </is>
      </c>
      <c r="C154" s="6" t="inlineStr">
        <is>
          <t>Inputs!$E$7:$E$75</t>
        </is>
      </c>
      <c r="D154" s="6" t="inlineStr">
        <is>
          <t>Selected/indicated change s (used when basis = proposed)</t>
        </is>
      </c>
    </row>
    <row r="155">
      <c r="B155" s="193" t="inlineStr">
        <is>
          <t>lr_state</t>
        </is>
      </c>
      <c r="C155" s="6" t="inlineStr">
        <is>
          <t>Inputs!$B$7:$B$75</t>
        </is>
      </c>
      <c r="D155" s="6" t="inlineStr">
        <is>
          <t>tbl_LR state</t>
        </is>
      </c>
    </row>
    <row r="156">
      <c r="B156" s="193" t="inlineStr">
        <is>
          <t>lr_trend</t>
        </is>
      </c>
      <c r="C156" s="6" t="inlineStr">
        <is>
          <t>Inputs!$M$7:$M$75</t>
        </is>
      </c>
      <c r="D156" s="6" t="inlineStr">
        <is>
          <t>Annual net loss-over-premium trend for the P+1 view</t>
        </is>
      </c>
    </row>
    <row r="157">
      <c r="B157" s="193" t="inlineStr">
        <is>
          <t>lst_basis</t>
        </is>
      </c>
      <c r="C157" s="6" t="inlineStr">
        <is>
          <t>_lists!$E$3:$E$4</t>
        </is>
      </c>
      <c r="D157" s="6" t="inlineStr">
        <is>
          <t>LR basis</t>
        </is>
      </c>
    </row>
    <row r="158">
      <c r="B158" s="193" t="inlineStr">
        <is>
          <t>lst_basisdisp</t>
        </is>
      </c>
      <c r="C158" s="6" t="inlineStr">
        <is>
          <t>_lists!$H$3:$H$4</t>
        </is>
      </c>
      <c r="D158" s="6" t="inlineStr">
        <is>
          <t>Projected-LR KPI display</t>
        </is>
      </c>
    </row>
    <row r="159">
      <c r="B159" s="193" t="inlineStr">
        <is>
          <t>lst_bu</t>
        </is>
      </c>
      <c r="C159" s="6" t="inlineStr">
        <is>
          <t>_lists!$A$3:INDEX(_lists!$A$3:$A$71,MAX(1,_lists!$N$1))</t>
        </is>
      </c>
      <c r="D159" s="6" t="inlineStr">
        <is>
          <t>LIVE unique business units from tbl_LR (self-sizing, D42)</t>
        </is>
      </c>
    </row>
    <row r="160">
      <c r="B160" s="193" t="inlineStr">
        <is>
          <t>lst_bu_all</t>
        </is>
      </c>
      <c r="C160" s="6" t="inlineStr">
        <is>
          <t>_lists!$I$3:INDEX(_lists!$I$3:$I$72,MAX(1,_lists!$N$1+1))</t>
        </is>
      </c>
      <c r="D160" s="6" t="inlineStr">
        <is>
          <t>State Summary BU filter: 'All' + live business units (D42)</t>
        </is>
      </c>
    </row>
    <row r="161">
      <c r="B161" s="193" t="inlineStr">
        <is>
          <t>lst_onoff</t>
        </is>
      </c>
      <c r="C161" s="6" t="inlineStr">
        <is>
          <t>_lists!$F$3:$F$4</t>
        </is>
      </c>
      <c r="D161" s="6" t="inlineStr">
        <is>
          <t>Toggles</t>
        </is>
      </c>
    </row>
    <row r="162">
      <c r="B162" s="193" t="inlineStr">
        <is>
          <t>lst_scenario</t>
        </is>
      </c>
      <c r="C162" s="6" t="inlineStr">
        <is>
          <t>_lists!$G$3:$G$7</t>
        </is>
      </c>
      <c r="D162" s="6" t="inlineStr">
        <is>
          <t>Scenario selector</t>
        </is>
      </c>
    </row>
    <row r="163">
      <c r="B163" s="193" t="inlineStr">
        <is>
          <t>lst_state</t>
        </is>
      </c>
      <c r="C163" s="6" t="inlineStr">
        <is>
          <t>_lists!$B$3:INDEX(_lists!$B$3:$B$71,MAX(1,_lists!$P$1))</t>
        </is>
      </c>
      <c r="D163" s="6" t="inlineStr">
        <is>
          <t>LIVE unique states from tbl_LR (self-sizing, D42)</t>
        </is>
      </c>
    </row>
    <row r="164">
      <c r="B164" s="193" t="inlineStr">
        <is>
          <t>lst_state_cnt</t>
        </is>
      </c>
      <c r="C164" s="6" t="inlineStr">
        <is>
          <t>_lists!$P$1</t>
        </is>
      </c>
      <c r="D164" s="6" t="inlineStr">
        <is>
          <t>Count of distinct states currently in tbl_LR</t>
        </is>
      </c>
    </row>
    <row r="165">
      <c r="B165" s="193" t="inlineStr">
        <is>
          <t>lst_status</t>
        </is>
      </c>
      <c r="C165" s="6" t="inlineStr">
        <is>
          <t>_lists!$C$3:$C$4</t>
        </is>
      </c>
      <c r="D165" s="6" t="inlineStr">
        <is>
          <t>Rate change status</t>
        </is>
      </c>
    </row>
    <row r="166">
      <c r="B166" s="193" t="inlineStr">
        <is>
          <t>lst_yn</t>
        </is>
      </c>
      <c r="C166" s="6" t="inlineStr">
        <is>
          <t>_lists!$D$3:$D$4</t>
        </is>
      </c>
      <c r="D166" s="6" t="inlineStr">
        <is>
          <t>Yes/No flags</t>
        </is>
      </c>
    </row>
    <row r="167">
      <c r="B167" s="193" t="inlineStr">
        <is>
          <t>me_identity</t>
        </is>
      </c>
      <c r="C167" s="6" t="inlineStr">
        <is>
          <t>'Mod Engine'!$L$11</t>
        </is>
      </c>
      <c r="D167" s="6" t="inlineStr">
        <is>
          <t>Written mod at 1/1/P — equals CY P earned mod under the §3.3.5 identity</t>
        </is>
      </c>
    </row>
    <row r="168">
      <c r="B168" s="193" t="inlineStr">
        <is>
          <t>me_identity_ok</t>
        </is>
      </c>
      <c r="C168" s="6" t="inlineStr">
        <is>
          <t>'Mod Engine'!$L$12</t>
        </is>
      </c>
      <c r="D168" s="6" t="inlineStr">
        <is>
          <t>TRUE when the linear-mod identity preconditions hold (no M_prior kink, annual term, uniform writings)</t>
        </is>
      </c>
    </row>
    <row r="169">
      <c r="B169" s="193" t="inlineStr">
        <is>
          <t>me_mw_col</t>
        </is>
      </c>
      <c r="C169" s="6" t="inlineStr">
        <is>
          <t>'Mod Engine'!$E$17:$E$64</t>
        </is>
      </c>
      <c r="D169" s="6" t="inlineStr">
        <is>
          <t>Written mod M_w(k) by cohort</t>
        </is>
      </c>
    </row>
    <row r="170">
      <c r="B170" s="193" t="inlineStr">
        <is>
          <t>nr_AOther</t>
        </is>
      </c>
      <c r="C170" s="6" t="inlineStr">
        <is>
          <t>Bridge!$C$19</t>
        </is>
      </c>
      <c r="D170" s="6" t="inlineStr">
        <is>
          <t>Manual adjustment factor (label required when &lt;&gt; 1)</t>
        </is>
      </c>
    </row>
    <row r="171">
      <c r="B171" s="193" t="inlineStr">
        <is>
          <t>nr_AOtherLbl</t>
        </is>
      </c>
      <c r="C171" s="6" t="inlineStr">
        <is>
          <t>Bridge!$C$20</t>
        </is>
      </c>
      <c r="D171" s="6" t="inlineStr">
        <is>
          <t>Reason for A_other</t>
        </is>
      </c>
    </row>
    <row r="172">
      <c r="B172" s="193" t="inlineStr">
        <is>
          <t>nr_Amod_P</t>
        </is>
      </c>
      <c r="C172" s="6" t="inlineStr">
        <is>
          <t>'Mod Engine'!$L$8</t>
        </is>
      </c>
      <c r="D172" s="6" t="inlineStr">
        <is>
          <t>Mod adjustment factor for the plan year (1 under a net selection, D39)</t>
        </is>
      </c>
    </row>
    <row r="173">
      <c r="B173" s="193" t="inlineStr">
        <is>
          <t>nr_Amod_P1</t>
        </is>
      </c>
      <c r="C173" s="6" t="inlineStr">
        <is>
          <t>'Mod Engine'!$L$9</t>
        </is>
      </c>
      <c r="D173" s="6" t="inlineStr">
        <is>
          <t>Mod adjustment factor for plan year + 1 (1 under a net selection)</t>
        </is>
      </c>
    </row>
    <row r="174">
      <c r="B174" s="193" t="inlineStr">
        <is>
          <t>nr_Arate_P</t>
        </is>
      </c>
      <c r="C174" s="6" t="inlineStr">
        <is>
          <t>'Rate Engine'!$C$9</t>
        </is>
      </c>
      <c r="D174" s="6" t="inlineStr">
        <is>
          <t>Rate adjustment factor for the plan year</t>
        </is>
      </c>
    </row>
    <row r="175">
      <c r="B175" s="193" t="inlineStr">
        <is>
          <t>nr_Arate_P1</t>
        </is>
      </c>
      <c r="C175" s="6" t="inlineStr">
        <is>
          <t>'Rate Engine'!$C$10</t>
        </is>
      </c>
      <c r="D175" s="6" t="inlineStr">
        <is>
          <t>Rate adjustment factor for plan year + 1</t>
        </is>
      </c>
    </row>
    <row r="176">
      <c r="B176" s="193" t="inlineStr">
        <is>
          <t>nr_Basis</t>
        </is>
      </c>
      <c r="C176" s="6" t="inlineStr">
        <is>
          <t>Bridge!$C$9</t>
        </is>
      </c>
      <c r="D176" s="6" t="inlineStr">
        <is>
          <t>Basis of the input LR: current | proposed</t>
        </is>
      </c>
    </row>
    <row r="177">
      <c r="B177" s="193" t="inlineStr">
        <is>
          <t>nr_BasisDisp</t>
        </is>
      </c>
      <c r="C177" s="6" t="inlineStr">
        <is>
          <t>Control!$C$14</t>
        </is>
      </c>
      <c r="D177" s="6" t="inlineStr">
        <is>
          <t>Projected-LR KPI display basis</t>
        </is>
      </c>
    </row>
    <row r="178">
      <c r="B178" s="193" t="inlineStr">
        <is>
          <t>nr_CRLind</t>
        </is>
      </c>
      <c r="C178" s="6" t="inlineStr">
        <is>
          <t>'Rate Engine'!$C$5</t>
        </is>
      </c>
      <c r="D178" s="6" t="inlineStr">
        <is>
          <t>Cumulative rate level in the indication: product over considered rows</t>
        </is>
      </c>
    </row>
    <row r="179">
      <c r="B179" s="193" t="inlineStr">
        <is>
          <t>nr_CYLR_P</t>
        </is>
      </c>
      <c r="C179" s="6" t="inlineStr">
        <is>
          <t>Bridge!$D$36</t>
        </is>
      </c>
      <c r="D179" s="6" t="inlineStr">
        <is>
          <t>CY plan loss ratio for the plan year</t>
        </is>
      </c>
    </row>
    <row r="180">
      <c r="B180" s="193" t="inlineStr">
        <is>
          <t>nr_CYLR_P1</t>
        </is>
      </c>
      <c r="C180" s="6" t="inlineStr">
        <is>
          <t>Bridge!$G$36</t>
        </is>
      </c>
      <c r="D180" s="6" t="inlineStr">
        <is>
          <t>Indicative CY LR for plan year + 1 (assumes no new indication)</t>
        </is>
      </c>
    </row>
    <row r="181">
      <c r="B181" s="193" t="inlineStr">
        <is>
          <t>nr_ECY_P</t>
        </is>
      </c>
      <c r="C181" s="6" t="inlineStr">
        <is>
          <t>'Rate Engine'!$C$7</t>
        </is>
      </c>
      <c r="D181" s="6" t="inlineStr">
        <is>
          <t>Calendar-year earned rate index, plan year</t>
        </is>
      </c>
    </row>
    <row r="182">
      <c r="B182" s="193" t="inlineStr">
        <is>
          <t>nr_ECY_P1</t>
        </is>
      </c>
      <c r="C182" s="6" t="inlineStr">
        <is>
          <t>'Rate Engine'!$C$8</t>
        </is>
      </c>
      <c r="D182" s="6" t="inlineStr">
        <is>
          <t>Calendar-year earned rate index, plan year + 1</t>
        </is>
      </c>
    </row>
    <row r="183">
      <c r="B183" s="193" t="inlineStr">
        <is>
          <t>nr_ECY_Pm1</t>
        </is>
      </c>
      <c r="C183" s="6" t="inlineStr">
        <is>
          <t>'Rate Engine'!$C$6</t>
        </is>
      </c>
      <c r="D183" s="6" t="inlineStr">
        <is>
          <t>Calendar-year earned rate index, plan year minus 1</t>
        </is>
      </c>
    </row>
    <row r="184">
      <c r="B184" s="193" t="inlineStr">
        <is>
          <t>nr_EChgVsInd</t>
        </is>
      </c>
      <c r="C184" s="6" t="inlineStr">
        <is>
          <t>'Rate Engine'!$C$11</t>
        </is>
      </c>
      <c r="D184" s="6" t="inlineStr">
        <is>
          <t>E_CY(P)/CRL_ind - 1</t>
        </is>
      </c>
    </row>
    <row r="185">
      <c r="B185" s="193" t="inlineStr">
        <is>
          <t>nr_LRcur</t>
        </is>
      </c>
      <c r="C185" s="6" t="inlineStr">
        <is>
          <t>Bridge!$C$11</t>
        </is>
      </c>
      <c r="D185" s="6" t="inlineStr">
        <is>
          <t>Basis-normalized projected LR (§3.4.1)</t>
        </is>
      </c>
    </row>
    <row r="186">
      <c r="B186" s="193" t="inlineStr">
        <is>
          <t>nr_LRproj</t>
        </is>
      </c>
      <c r="C186" s="6" t="inlineStr">
        <is>
          <t>Bridge!$C$8</t>
        </is>
      </c>
      <c r="D186" s="6" t="inlineStr">
        <is>
          <t>Projected loss ratio from the indication, as entered</t>
        </is>
      </c>
    </row>
    <row r="187">
      <c r="B187" s="193" t="inlineStr">
        <is>
          <t>nr_M0</t>
        </is>
      </c>
      <c r="C187" s="6" t="inlineStr">
        <is>
          <t>Bridge!$C$13</t>
        </is>
      </c>
      <c r="D187" s="6" t="inlineStr">
        <is>
          <t>Current average written mod</t>
        </is>
      </c>
    </row>
    <row r="188">
      <c r="B188" s="193" t="inlineStr">
        <is>
          <t>nr_M0Asof</t>
        </is>
      </c>
      <c r="C188" s="6" t="inlineStr">
        <is>
          <t>Bridge!$C$14</t>
        </is>
      </c>
      <c r="D188" s="6" t="inlineStr">
        <is>
          <t>As-of date of M_0 (anchored close-of-day, D2)</t>
        </is>
      </c>
    </row>
    <row r="189">
      <c r="B189" s="193" t="inlineStr">
        <is>
          <t>nr_M1</t>
        </is>
      </c>
      <c r="C189" s="6" t="inlineStr">
        <is>
          <t>Bridge!$C$15</t>
        </is>
      </c>
      <c r="D189" s="6" t="inlineStr">
        <is>
          <t>Projected average written mod at 12/31/P</t>
        </is>
      </c>
    </row>
    <row r="190">
      <c r="B190" s="193" t="inlineStr">
        <is>
          <t>nr_M2</t>
        </is>
      </c>
      <c r="C190" s="6" t="inlineStr">
        <is>
          <t>Bridge!$C$17</t>
        </is>
      </c>
      <c r="D190" s="6" t="inlineStr">
        <is>
          <t>Projected written mod at 12/31/(P+1); 0/blank = M_1</t>
        </is>
      </c>
    </row>
    <row r="191">
      <c r="B191" s="193" t="inlineStr">
        <is>
          <t>nr_MEarned_P</t>
        </is>
      </c>
      <c r="C191" s="6" t="inlineStr">
        <is>
          <t>'Mod Engine'!$L$6</t>
        </is>
      </c>
      <c r="D191" s="6" t="inlineStr">
        <is>
          <t>Exposure-weighted CY P earned schedule mod</t>
        </is>
      </c>
    </row>
    <row r="192">
      <c r="B192" s="193" t="inlineStr">
        <is>
          <t>nr_MEarned_P1</t>
        </is>
      </c>
      <c r="C192" s="6" t="inlineStr">
        <is>
          <t>'Mod Engine'!$L$7</t>
        </is>
      </c>
      <c r="D192" s="6" t="inlineStr">
        <is>
          <t>Exposure-weighted CY P+1 earned schedule mod</t>
        </is>
      </c>
    </row>
    <row r="193">
      <c r="B193" s="193" t="inlineStr">
        <is>
          <t>nr_MEarned_Pm1</t>
        </is>
      </c>
      <c r="C193" s="6" t="inlineStr">
        <is>
          <t>'Mod Engine'!$L$5</t>
        </is>
      </c>
      <c r="D193" s="6" t="inlineStr">
        <is>
          <t>Exposure-weighted CY P-1 earned schedule mod</t>
        </is>
      </c>
    </row>
    <row r="194">
      <c r="B194" s="193" t="inlineStr">
        <is>
          <t>nr_MEndP</t>
        </is>
      </c>
      <c r="C194" s="6" t="inlineStr">
        <is>
          <t>'Rate Engine'!$G$10</t>
        </is>
      </c>
      <c r="D194" s="6" t="inlineStr">
        <is>
          <t>Abs month index of Dec P</t>
        </is>
      </c>
    </row>
    <row r="195">
      <c r="B195" s="193" t="inlineStr">
        <is>
          <t>nr_MEndP1</t>
        </is>
      </c>
      <c r="C195" s="6" t="inlineStr">
        <is>
          <t>'Rate Engine'!$G$11</t>
        </is>
      </c>
      <c r="D195" s="6" t="inlineStr">
        <is>
          <t>Abs month index of Dec (P+1)</t>
        </is>
      </c>
    </row>
    <row r="196">
      <c r="B196" s="193" t="inlineStr">
        <is>
          <t>nr_MEndPm1</t>
        </is>
      </c>
      <c r="C196" s="6" t="inlineStr">
        <is>
          <t>'Rate Engine'!$G$9</t>
        </is>
      </c>
      <c r="D196" s="6" t="inlineStr">
        <is>
          <t>Abs month index of Dec (P-1)</t>
        </is>
      </c>
    </row>
    <row r="197">
      <c r="B197" s="193" t="inlineStr">
        <is>
          <t>nr_MInd</t>
        </is>
      </c>
      <c r="C197" s="6" t="inlineStr">
        <is>
          <t>Bridge!$C$12</t>
        </is>
      </c>
      <c r="D197" s="6" t="inlineStr">
        <is>
          <t>Average schedule mod assumed in the indication</t>
        </is>
      </c>
    </row>
    <row r="198">
      <c r="B198" s="193" t="inlineStr">
        <is>
          <t>nr_MPrior</t>
        </is>
      </c>
      <c r="C198" s="6" t="inlineStr">
        <is>
          <t>Bridge!$C$16</t>
        </is>
      </c>
      <c r="D198" s="6" t="inlineStr">
        <is>
          <t>Average mod ~12 months before M_0; 0/blank = extrapolate backward</t>
        </is>
      </c>
    </row>
    <row r="199">
      <c r="B199" s="193" t="inlineStr">
        <is>
          <t>nr_MStartP</t>
        </is>
      </c>
      <c r="C199" s="6" t="inlineStr">
        <is>
          <t>'Rate Engine'!$F$10</t>
        </is>
      </c>
      <c r="D199" s="6" t="inlineStr">
        <is>
          <t>Absolute month index of Jan P</t>
        </is>
      </c>
    </row>
    <row r="200">
      <c r="B200" s="193" t="inlineStr">
        <is>
          <t>nr_MStartP1</t>
        </is>
      </c>
      <c r="C200" s="6" t="inlineStr">
        <is>
          <t>'Rate Engine'!$F$11</t>
        </is>
      </c>
      <c r="D200" s="6" t="inlineStr">
        <is>
          <t>Absolute month index of Jan (P+1)</t>
        </is>
      </c>
    </row>
    <row r="201">
      <c r="B201" s="193" t="inlineStr">
        <is>
          <t>nr_MStartPm1</t>
        </is>
      </c>
      <c r="C201" s="6" t="inlineStr">
        <is>
          <t>'Rate Engine'!$F$9</t>
        </is>
      </c>
      <c r="D201" s="6" t="inlineStr">
        <is>
          <t>Absolute month index of Jan (P-1); year*12+month-1 convention</t>
        </is>
      </c>
    </row>
    <row r="202">
      <c r="B202" s="193" t="inlineStr">
        <is>
          <t>nr_ModAdjEff</t>
        </is>
      </c>
      <c r="C202" s="6" t="inlineStr">
        <is>
          <t>Bridge!$C$22</t>
        </is>
      </c>
      <c r="D202" s="6" t="inlineStr">
        <is>
          <t>TRUE state of the mod adjustment (master AND combo row)</t>
        </is>
      </c>
    </row>
    <row r="203">
      <c r="B203" s="193" t="inlineStr">
        <is>
          <t>nr_ModAdjMaster</t>
        </is>
      </c>
      <c r="C203" s="6" t="inlineStr">
        <is>
          <t>Control!$C$13</t>
        </is>
      </c>
      <c r="D203" s="6" t="inlineStr">
        <is>
          <t>Master mod-adjustment toggle (ON/OFF)</t>
        </is>
      </c>
    </row>
    <row r="204">
      <c r="B204" s="193" t="inlineStr">
        <is>
          <t>nr_ModAdjRow</t>
        </is>
      </c>
      <c r="C204" s="6" t="inlineStr">
        <is>
          <t>Bridge!$C$21</t>
        </is>
      </c>
      <c r="D204" s="6" t="inlineStr">
        <is>
          <t>Per-combo mod adjustment toggle from tbl_LR</t>
        </is>
      </c>
    </row>
    <row r="205">
      <c r="B205" s="193" t="inlineStr">
        <is>
          <t>nr_NetMode</t>
        </is>
      </c>
      <c r="C205" s="6" t="inlineStr">
        <is>
          <t>Bridge!$C$23</t>
        </is>
      </c>
      <c r="D205" s="6" t="inlineStr">
        <is>
          <t>TRUE when this combo carries a net rate selection (D39)</t>
        </is>
      </c>
    </row>
    <row r="206">
      <c r="B206" s="193" t="inlineStr">
        <is>
          <t>nr_NetSelP</t>
        </is>
      </c>
      <c r="C206" s="6" t="inlineStr">
        <is>
          <t>Bridge!$C$24</t>
        </is>
      </c>
      <c r="D206" s="6" t="inlineStr">
        <is>
          <t>YoY combined net price target for cohorts written from 1/1/P</t>
        </is>
      </c>
    </row>
    <row r="207">
      <c r="B207" s="193" t="inlineStr">
        <is>
          <t>nr_NetSelP1</t>
        </is>
      </c>
      <c r="C207" s="6" t="inlineStr">
        <is>
          <t>Bridge!$C$25</t>
        </is>
      </c>
      <c r="D207" s="6" t="inlineStr">
        <is>
          <t>Net selection for P+1 cohorts (defaults to the P selection)</t>
        </is>
      </c>
    </row>
    <row r="208">
      <c r="B208" s="193" t="inlineStr">
        <is>
          <t>nr_PlanYear</t>
        </is>
      </c>
      <c r="C208" s="6" t="inlineStr">
        <is>
          <t>Control!$C$6</t>
        </is>
      </c>
      <c r="D208" s="6" t="inlineStr">
        <is>
          <t>Plan year P</t>
        </is>
      </c>
    </row>
    <row r="209">
      <c r="B209" s="193" t="inlineStr">
        <is>
          <t>nr_SeasonOn</t>
        </is>
      </c>
      <c r="C209" s="6" t="inlineStr">
        <is>
          <t>Control!$C$12</t>
        </is>
      </c>
      <c r="D209" s="6" t="inlineStr">
        <is>
          <t>Global seasonality toggle (ON/OFF)</t>
        </is>
      </c>
    </row>
    <row r="210">
      <c r="B210" s="193" t="inlineStr">
        <is>
          <t>nr_SelBU</t>
        </is>
      </c>
      <c r="C210" s="6" t="inlineStr">
        <is>
          <t>Control!$C$7</t>
        </is>
      </c>
      <c r="D210" s="6" t="inlineStr">
        <is>
          <t>Selected business unit</t>
        </is>
      </c>
    </row>
    <row r="211">
      <c r="B211" s="193" t="inlineStr">
        <is>
          <t>nr_SelKey</t>
        </is>
      </c>
      <c r="C211" s="6" t="inlineStr">
        <is>
          <t>Control!$F$6</t>
        </is>
      </c>
      <c r="D211" s="6" t="inlineStr">
        <is>
          <t>Selected BU|State key</t>
        </is>
      </c>
    </row>
    <row r="212">
      <c r="B212" s="193" t="inlineStr">
        <is>
          <t>nr_SelOK</t>
        </is>
      </c>
      <c r="C212" s="6" t="inlineStr">
        <is>
          <t>Control!$F$7</t>
        </is>
      </c>
      <c r="D212" s="6" t="inlineStr">
        <is>
          <t>TRUE when the selected combo exists in tbl_LR</t>
        </is>
      </c>
    </row>
    <row r="213">
      <c r="B213" s="193" t="inlineStr">
        <is>
          <t>nr_SelS</t>
        </is>
      </c>
      <c r="C213" s="6" t="inlineStr">
        <is>
          <t>Bridge!$C$10</t>
        </is>
      </c>
      <c r="D213" s="6" t="inlineStr">
        <is>
          <t>Selected/indicated change used for basis normalization</t>
        </is>
      </c>
    </row>
    <row r="214">
      <c r="B214" s="193" t="inlineStr">
        <is>
          <t>nr_SelScenario</t>
        </is>
      </c>
      <c r="C214" s="6" t="inlineStr">
        <is>
          <t>Control!$C$9</t>
        </is>
      </c>
      <c r="D214" s="6" t="inlineStr">
        <is>
          <t>Scenario surfaced in the Control KPI row</t>
        </is>
      </c>
    </row>
    <row r="215">
      <c r="B215" s="193" t="inlineStr">
        <is>
          <t>nr_SelState</t>
        </is>
      </c>
      <c r="C215" s="6" t="inlineStr">
        <is>
          <t>Control!$C$8</t>
        </is>
      </c>
      <c r="D215" s="6" t="inlineStr">
        <is>
          <t>Selected state</t>
        </is>
      </c>
    </row>
    <row r="216">
      <c r="B216" s="193" t="inlineStr">
        <is>
          <t>nr_SolvMaxRate</t>
        </is>
      </c>
      <c r="C216" s="6" t="inlineStr">
        <is>
          <t>Solver!$C$21</t>
        </is>
      </c>
      <c r="D216" s="6" t="inlineStr">
        <is>
          <t>Solver reasonability bound (config)</t>
        </is>
      </c>
    </row>
    <row r="217">
      <c r="B217" s="193" t="inlineStr">
        <is>
          <t>nr_SolvMinShare</t>
        </is>
      </c>
      <c r="C217" s="6" t="inlineStr">
        <is>
          <t>Solver!$C$22</t>
        </is>
      </c>
      <c r="D217" s="6" t="inlineStr">
        <is>
          <t>Solver post-share warning threshold (config)</t>
        </is>
      </c>
    </row>
    <row r="218">
      <c r="B218" s="193" t="inlineStr">
        <is>
          <t>nr_SolverR</t>
        </is>
      </c>
      <c r="C218" s="6" t="inlineStr">
        <is>
          <t>Solver!$C$17</t>
        </is>
      </c>
      <c r="D218" s="6" t="inlineStr">
        <is>
          <t>Mode A required rate change</t>
        </is>
      </c>
    </row>
    <row r="219">
      <c r="B219" s="193" t="inlineStr">
        <is>
          <t>nr_SumBU</t>
        </is>
      </c>
      <c r="C219" s="6" t="inlineStr">
        <is>
          <t>'State Summary'!$B$4</t>
        </is>
      </c>
      <c r="D219" s="6" t="inlineStr">
        <is>
          <t>State Summary business-unit filter (All = EP-weighted across BUs)</t>
        </is>
      </c>
    </row>
    <row r="220">
      <c r="B220" s="193" t="inlineStr">
        <is>
          <t>nr_TermMonths</t>
        </is>
      </c>
      <c r="C220" s="6" t="inlineStr">
        <is>
          <t>Inputs!$B$352</t>
        </is>
      </c>
      <c r="D220" s="6" t="inlineStr">
        <is>
          <t>Workbook policy term in months (this workbook covers one LOB)</t>
        </is>
      </c>
    </row>
    <row r="221">
      <c r="B221" s="193" t="inlineStr">
        <is>
          <t>nr_Trend</t>
        </is>
      </c>
      <c r="C221" s="6" t="inlineStr">
        <is>
          <t>Bridge!$C$18</t>
        </is>
      </c>
      <c r="D221" s="6" t="inlineStr">
        <is>
          <t>Effective P+1 net trend: tbl_LR value, or the Control default when blank</t>
        </is>
      </c>
    </row>
    <row r="222">
      <c r="B222" s="193" t="inlineStr">
        <is>
          <t>nr_TrendDefault</t>
        </is>
      </c>
      <c r="C222" s="6" t="inlineStr">
        <is>
          <t>Control!$C$15</t>
        </is>
      </c>
      <c r="D222" s="6" t="inlineStr">
        <is>
          <t>Default net trend for the P+1 view (per-combo blank cells inherit it)</t>
        </is>
      </c>
    </row>
    <row r="223">
      <c r="B223" s="193" t="inlineStr">
        <is>
          <t>nr_YoY_P</t>
        </is>
      </c>
      <c r="C223" s="6" t="inlineStr">
        <is>
          <t>'Rate Engine'!$C$12</t>
        </is>
      </c>
      <c r="D223" s="6" t="inlineStr">
        <is>
          <t>Year-over-year earned rate change into P</t>
        </is>
      </c>
    </row>
    <row r="224">
      <c r="B224" s="193" t="inlineStr">
        <is>
          <t>nr_YoY_P1</t>
        </is>
      </c>
      <c r="C224" s="6" t="inlineStr">
        <is>
          <t>'Rate Engine'!$C$13</t>
        </is>
      </c>
      <c r="D224" s="6" t="inlineStr">
        <is>
          <t>Year-over-year earned rate change into P+1</t>
        </is>
      </c>
    </row>
    <row r="225">
      <c r="B225" s="193" t="inlineStr">
        <is>
          <t>orc_amod_p</t>
        </is>
      </c>
      <c r="C225" s="6" t="inlineStr">
        <is>
          <t>_oracle!$B$11</t>
        </is>
      </c>
      <c r="D225" s="6" t="inlineStr">
        <is>
          <t>Oracle A_mod(P) (baked at build time)</t>
        </is>
      </c>
    </row>
    <row r="226">
      <c r="B226" s="193" t="inlineStr">
        <is>
          <t>orc_arate_p</t>
        </is>
      </c>
      <c r="C226" s="6" t="inlineStr">
        <is>
          <t>_oracle!$B$9</t>
        </is>
      </c>
      <c r="D226" s="6" t="inlineStr">
        <is>
          <t>Oracle A_rate(P) (baked at build time)</t>
        </is>
      </c>
    </row>
    <row r="227">
      <c r="B227" s="193" t="inlineStr">
        <is>
          <t>orc_arate_p1</t>
        </is>
      </c>
      <c r="C227" s="6" t="inlineStr">
        <is>
          <t>_oracle!$B$10</t>
        </is>
      </c>
      <c r="D227" s="6" t="inlineStr">
        <is>
          <t>Oracle A_rate(P+1) (baked at build time)</t>
        </is>
      </c>
    </row>
    <row r="228">
      <c r="B228" s="193" t="inlineStr">
        <is>
          <t>orc_crl</t>
        </is>
      </c>
      <c r="C228" s="6" t="inlineStr">
        <is>
          <t>_oracle!$B$4</t>
        </is>
      </c>
      <c r="D228" s="6" t="inlineStr">
        <is>
          <t>Oracle CRL_ind (baked at build time)</t>
        </is>
      </c>
    </row>
    <row r="229">
      <c r="B229" s="193" t="inlineStr">
        <is>
          <t>orc_cylr_p</t>
        </is>
      </c>
      <c r="C229" s="6" t="inlineStr">
        <is>
          <t>_oracle!$B$12</t>
        </is>
      </c>
      <c r="D229" s="6" t="inlineStr">
        <is>
          <t>Oracle CY plan LR(P), monthly convention (baked at build time)</t>
        </is>
      </c>
    </row>
    <row r="230">
      <c r="B230" s="193" t="inlineStr">
        <is>
          <t>orc_cylr_p1</t>
        </is>
      </c>
      <c r="C230" s="6" t="inlineStr">
        <is>
          <t>_oracle!$B$13</t>
        </is>
      </c>
      <c r="D230" s="6" t="inlineStr">
        <is>
          <t>Oracle CY LR(P+1), monthly convention (baked at build time)</t>
        </is>
      </c>
    </row>
    <row r="231">
      <c r="B231" s="193" t="inlineStr">
        <is>
          <t>orc_cylr_p_cont</t>
        </is>
      </c>
      <c r="C231" s="6" t="inlineStr">
        <is>
          <t>_oracle!$B$15</t>
        </is>
      </c>
      <c r="D231" s="6" t="inlineStr">
        <is>
          <t>Oracle CY plan LR(P), continuous closed form (baked at build time)</t>
        </is>
      </c>
    </row>
    <row r="232">
      <c r="B232" s="193" t="inlineStr">
        <is>
          <t>orc_echg</t>
        </is>
      </c>
      <c r="C232" s="6" t="inlineStr">
        <is>
          <t>_oracle!$B$14</t>
        </is>
      </c>
      <c r="D232" s="6" t="inlineStr">
        <is>
          <t>Oracle earned chg vs indication (baked at build time)</t>
        </is>
      </c>
    </row>
    <row r="233">
      <c r="B233" s="193" t="inlineStr">
        <is>
          <t>orc_ecy_p</t>
        </is>
      </c>
      <c r="C233" s="6" t="inlineStr">
        <is>
          <t>_oracle!$B$6</t>
        </is>
      </c>
      <c r="D233" s="6" t="inlineStr">
        <is>
          <t>Oracle E_CY(P), monthly convention (baked at build time)</t>
        </is>
      </c>
    </row>
    <row r="234">
      <c r="B234" s="193" t="inlineStr">
        <is>
          <t>orc_ecy_p1</t>
        </is>
      </c>
      <c r="C234" s="6" t="inlineStr">
        <is>
          <t>_oracle!$B$7</t>
        </is>
      </c>
      <c r="D234" s="6" t="inlineStr">
        <is>
          <t>Oracle E_CY(P+1), monthly convention (baked at build time)</t>
        </is>
      </c>
    </row>
    <row r="235">
      <c r="B235" s="193" t="inlineStr">
        <is>
          <t>orc_ecy_p_cont</t>
        </is>
      </c>
      <c r="C235" s="6" t="inlineStr">
        <is>
          <t>_oracle!$B$16</t>
        </is>
      </c>
      <c r="D235" s="6" t="inlineStr">
        <is>
          <t>Oracle E_CY(P), continuous closed form (baked at build time)</t>
        </is>
      </c>
    </row>
    <row r="236">
      <c r="B236" s="193" t="inlineStr">
        <is>
          <t>orc_ecy_pm1</t>
        </is>
      </c>
      <c r="C236" s="6" t="inlineStr">
        <is>
          <t>_oracle!$B$5</t>
        </is>
      </c>
      <c r="D236" s="6" t="inlineStr">
        <is>
          <t>Oracle E_CY(P-1), monthly convention (baked at build time)</t>
        </is>
      </c>
    </row>
    <row r="237">
      <c r="B237" s="193" t="inlineStr">
        <is>
          <t>orc_fp</t>
        </is>
      </c>
      <c r="C237" s="6" t="inlineStr">
        <is>
          <t>_oracle!$B$46</t>
        </is>
      </c>
      <c r="D237" s="6" t="inlineStr">
        <is>
          <t>TRUE while the seeded worked-example inputs are unchanged (scopes oracle ties)</t>
        </is>
      </c>
    </row>
    <row r="238">
      <c r="B238" s="193" t="inlineStr">
        <is>
          <t>orc_mbar_p</t>
        </is>
      </c>
      <c r="C238" s="6" t="inlineStr">
        <is>
          <t>_oracle!$B$8</t>
        </is>
      </c>
      <c r="D238" s="6" t="inlineStr">
        <is>
          <t>Oracle CY P earned mod, monthly convention (baked at build time)</t>
        </is>
      </c>
    </row>
    <row r="239">
      <c r="B239" s="193" t="inlineStr">
        <is>
          <t>orc_solver_r</t>
        </is>
      </c>
      <c r="C239" s="6" t="inlineStr">
        <is>
          <t>_oracle!$B$17</t>
        </is>
      </c>
      <c r="D239" s="6" t="inlineStr">
        <is>
          <t>Oracle solver required change (worked example) (baked at build time)</t>
        </is>
      </c>
    </row>
    <row r="240">
      <c r="B240" s="193" t="inlineStr">
        <is>
          <t>re_den_row</t>
        </is>
      </c>
      <c r="C240" s="6" t="inlineStr">
        <is>
          <t>'Rate Engine'!$V$67:$BE$67</t>
        </is>
      </c>
      <c r="D240" s="6" t="inlineStr">
        <is>
          <t>Monthly earned-exposure denominators</t>
        </is>
      </c>
    </row>
    <row r="241">
      <c r="B241" s="193" t="inlineStr">
        <is>
          <t>re_ecy_matrix</t>
        </is>
      </c>
      <c r="C241" s="6" t="inlineStr">
        <is>
          <t>'Rate Engine'!$F$12</t>
        </is>
      </c>
      <c r="D241" s="6" t="inlineStr">
        <is>
          <t>Cross-check: E_CY(P) summed from the monthly matrix columns</t>
        </is>
      </c>
    </row>
    <row r="242">
      <c r="B242" s="193" t="inlineStr">
        <is>
          <t>re_em_row</t>
        </is>
      </c>
      <c r="C242" s="6" t="inlineStr">
        <is>
          <t>'Rate Engine'!$V$68:$BE$68</t>
        </is>
      </c>
      <c r="D242" s="6" t="inlineStr">
        <is>
          <t>Monthly earned rate index E_m, Jan (P-1) .. Dec (P+1)</t>
        </is>
      </c>
    </row>
    <row r="243">
      <c r="B243" s="193" t="inlineStr">
        <is>
          <t>re_rowsum_chk</t>
        </is>
      </c>
      <c r="C243" s="6" t="inlineStr">
        <is>
          <t>'Rate Engine'!$BF$17:$BF$64</t>
        </is>
      </c>
      <c r="D243" s="6" t="inlineStr">
        <is>
          <t>Per-cohort earning-profile row sums minus 1 (in-window cohorts; should be 0)</t>
        </is>
      </c>
    </row>
    <row r="244">
      <c r="B244" s="193" t="inlineStr">
        <is>
          <t>re_season_active</t>
        </is>
      </c>
      <c r="C244" s="6" t="inlineStr">
        <is>
          <t>'Rate Engine'!$F$8</t>
        </is>
      </c>
      <c r="D244" s="6" t="inlineStr">
        <is>
          <t>TRUE when non-uniform written weights are in force</t>
        </is>
      </c>
    </row>
    <row r="245">
      <c r="B245" s="193" t="inlineStr">
        <is>
          <t>re_srow</t>
        </is>
      </c>
      <c r="C245" s="6" t="inlineStr">
        <is>
          <t>'Rate Engine'!$F$6</t>
        </is>
      </c>
      <c r="D245" s="6" t="inlineStr">
        <is>
          <t>tbl_Seasonality row for the selected state, 0 if absent</t>
        </is>
      </c>
    </row>
    <row r="246">
      <c r="B246" s="193" t="inlineStr">
        <is>
          <t>re_ssum</t>
        </is>
      </c>
      <c r="C246" s="6" t="inlineStr">
        <is>
          <t>'Rate Engine'!$F$7</t>
        </is>
      </c>
      <c r="D246" s="6" t="inlineStr">
        <is>
          <t>Sum of the selected state's 12 seasonality weights</t>
        </is>
      </c>
    </row>
    <row r="247">
      <c r="B247" s="193" t="inlineStr">
        <is>
          <t>re_viol_row</t>
        </is>
      </c>
      <c r="C247" s="6" t="inlineStr">
        <is>
          <t>'Rate Engine'!$V$71:$BE$71</t>
        </is>
      </c>
      <c r="D247" s="6" t="inlineStr">
        <is>
          <t>Per-month earned-index bound violations (should be all 0)</t>
        </is>
      </c>
    </row>
    <row r="248">
      <c r="B248" s="193" t="inlineStr">
        <is>
          <t>rl_ach</t>
        </is>
      </c>
      <c r="C248" s="6" t="inlineStr">
        <is>
          <t>Inputs!$G$80:$G$319</t>
        </is>
      </c>
      <c r="D248" s="6" t="inlineStr">
        <is>
          <t>Achievement % (planned rows; blank = 100%)</t>
        </is>
      </c>
    </row>
    <row r="249">
      <c r="B249" s="193" t="inlineStr">
        <is>
          <t>rl_bu</t>
        </is>
      </c>
      <c r="C249" s="6" t="inlineStr">
        <is>
          <t>Inputs!$A$80:$A$319</t>
        </is>
      </c>
      <c r="D249" s="6" t="inlineStr">
        <is>
          <t>tbl_RateLog business unit</t>
        </is>
      </c>
    </row>
    <row r="250">
      <c r="B250" s="193" t="inlineStr">
        <is>
          <t>rl_cons</t>
        </is>
      </c>
      <c r="C250" s="6" t="inlineStr">
        <is>
          <t>Inputs!$F$80:$F$319</t>
        </is>
      </c>
      <c r="D250" s="6" t="inlineStr">
        <is>
          <t>Considered in the indication? (Y/N)</t>
        </is>
      </c>
    </row>
    <row r="251">
      <c r="B251" s="193" t="inlineStr">
        <is>
          <t>rl_daysafter</t>
        </is>
      </c>
      <c r="C251" s="6" t="inlineStr">
        <is>
          <t>Inputs!$N$80:$N$319</t>
        </is>
      </c>
      <c r="D251" s="6" t="inlineStr">
        <is>
          <t>Helper: days in effective month on/after the change</t>
        </is>
      </c>
    </row>
    <row r="252">
      <c r="B252" s="193" t="inlineStr">
        <is>
          <t>rl_dup</t>
        </is>
      </c>
      <c r="C252" s="6" t="inlineStr">
        <is>
          <t>Inputs!$R$80:$R$319</t>
        </is>
      </c>
      <c r="D252" s="6" t="inlineStr">
        <is>
          <t>Helper: 1 when &gt;1 change shares a BU|State cohort month</t>
        </is>
      </c>
    </row>
    <row r="253">
      <c r="B253" s="193" t="inlineStr">
        <is>
          <t>rl_eff</t>
        </is>
      </c>
      <c r="C253" s="6" t="inlineStr">
        <is>
          <t>Inputs!$C$80:$C$319</t>
        </is>
      </c>
      <c r="D253" s="6" t="inlineStr">
        <is>
          <t>Rate change effective date (start of day)</t>
        </is>
      </c>
    </row>
    <row r="254">
      <c r="B254" s="193" t="inlineStr">
        <is>
          <t>rl_effmonth</t>
        </is>
      </c>
      <c r="C254" s="6" t="inlineStr">
        <is>
          <t>Inputs!$M$80:$M$319</t>
        </is>
      </c>
      <c r="D254" s="6" t="inlineStr">
        <is>
          <t>Helper: first day of the effective month</t>
        </is>
      </c>
    </row>
    <row r="255">
      <c r="B255" s="193" t="inlineStr">
        <is>
          <t>rl_filed</t>
        </is>
      </c>
      <c r="C255" s="6" t="inlineStr">
        <is>
          <t>Inputs!$D$80:$D$319</t>
        </is>
      </c>
      <c r="D255" s="6" t="inlineStr">
        <is>
          <t>Filed rate change (decimal fraction)</t>
        </is>
      </c>
    </row>
    <row r="256">
      <c r="B256" s="193" t="inlineStr">
        <is>
          <t>rl_first</t>
        </is>
      </c>
      <c r="C256" s="6" t="inlineStr">
        <is>
          <t>Inputs!$Q$80:$Q$319</t>
        </is>
      </c>
      <c r="D256" s="6" t="inlineStr">
        <is>
          <t>Helper: 1 for the first change in its BU|State cohort month</t>
        </is>
      </c>
    </row>
    <row r="257">
      <c r="B257" s="193" t="inlineStr">
        <is>
          <t>rl_key</t>
        </is>
      </c>
      <c r="C257" s="6" t="inlineStr">
        <is>
          <t>Inputs!$J$80:$J$319</t>
        </is>
      </c>
      <c r="D257" s="6" t="inlineStr">
        <is>
          <t>Helper: BU|State key (right of the paste block, D40)</t>
        </is>
      </c>
    </row>
    <row r="258">
      <c r="B258" s="193" t="inlineStr">
        <is>
          <t>rl_ln1p</t>
        </is>
      </c>
      <c r="C258" s="6" t="inlineStr">
        <is>
          <t>Inputs!$L$80:$L$319</t>
        </is>
      </c>
      <c r="D258" s="6" t="inlineStr">
        <is>
          <t>Helper: ln(1 + effective change); 0 for blank rows</t>
        </is>
      </c>
    </row>
    <row r="259">
      <c r="B259" s="193" t="inlineStr">
        <is>
          <t>rl_reff</t>
        </is>
      </c>
      <c r="C259" s="6" t="inlineStr">
        <is>
          <t>Inputs!$K$80:$K$319</t>
        </is>
      </c>
      <c r="D259" s="6" t="inlineStr">
        <is>
          <t>Helper: effective change = filed x achievement (planned only)</t>
        </is>
      </c>
    </row>
    <row r="260">
      <c r="B260" s="193" t="inlineStr">
        <is>
          <t>rl_seq</t>
        </is>
      </c>
      <c r="C260" s="6" t="inlineStr">
        <is>
          <t>Inputs!$S$80:$S$319</t>
        </is>
      </c>
      <c r="D260" s="6" t="inlineStr">
        <is>
          <t>Helper: chronological rank of the change within its BU|State key</t>
        </is>
      </c>
    </row>
    <row r="261">
      <c r="B261" s="193" t="inlineStr">
        <is>
          <t>rl_state</t>
        </is>
      </c>
      <c r="C261" s="6" t="inlineStr">
        <is>
          <t>Inputs!$B$80:$B$319</t>
        </is>
      </c>
      <c r="D261" s="6" t="inlineStr">
        <is>
          <t>tbl_RateLog state</t>
        </is>
      </c>
    </row>
    <row r="262">
      <c r="B262" s="193" t="inlineStr">
        <is>
          <t>rl_status</t>
        </is>
      </c>
      <c r="C262" s="6" t="inlineStr">
        <is>
          <t>Inputs!$E$80:$E$319</t>
        </is>
      </c>
      <c r="D262" s="6" t="inlineStr">
        <is>
          <t>taken | planned</t>
        </is>
      </c>
    </row>
    <row r="263">
      <c r="B263" s="193" t="inlineStr">
        <is>
          <t>sc_ach</t>
        </is>
      </c>
      <c r="C263" s="6" t="inlineStr">
        <is>
          <t>Scenarios!$C$8:$F$8</t>
        </is>
      </c>
      <c r="D263" s="6" t="inlineStr">
        <is>
          <t>Scenario lever: replaces achievement % on planned rows</t>
        </is>
      </c>
    </row>
    <row r="264">
      <c r="B264" s="193" t="inlineStr">
        <is>
          <t>sc_dm1</t>
        </is>
      </c>
      <c r="C264" s="6" t="inlineStr">
        <is>
          <t>Scenarios!$C$9:$F$9</t>
        </is>
      </c>
      <c r="D264" s="6" t="inlineStr">
        <is>
          <t>Scenario lever: added to M_1 and M_2 anchors</t>
        </is>
      </c>
    </row>
    <row r="265">
      <c r="B265" s="193" t="inlineStr">
        <is>
          <t>sc_dnet</t>
        </is>
      </c>
      <c r="C265" s="6" t="inlineStr">
        <is>
          <t>Scenarios!$C$10:$F$10</t>
        </is>
      </c>
      <c r="D265" s="6" t="inlineStr">
        <is>
          <t>Scenario lever: added to the net selection x for P and P+1 (D39)</t>
        </is>
      </c>
    </row>
    <row r="266">
      <c r="B266" s="193" t="inlineStr">
        <is>
          <t>sc_dpts</t>
        </is>
      </c>
      <c r="C266" s="6" t="inlineStr">
        <is>
          <t>Scenarios!$C$6:$F$6</t>
        </is>
      </c>
      <c r="D266" s="6" t="inlineStr">
        <is>
          <t>Scenario lever: added to every planned row's filed %</t>
        </is>
      </c>
    </row>
    <row r="267">
      <c r="B267" s="193" t="inlineStr">
        <is>
          <t>sc_res_cylr</t>
        </is>
      </c>
      <c r="C267" s="6" t="inlineStr">
        <is>
          <t>Scenarios!$C$14:$G$14</t>
        </is>
      </c>
      <c r="D267" s="6" t="inlineStr">
        <is>
          <t>CY plan LR by scenario</t>
        </is>
      </c>
    </row>
    <row r="268">
      <c r="B268" s="193" t="inlineStr">
        <is>
          <t>sc_res_names</t>
        </is>
      </c>
      <c r="C268" s="6" t="inlineStr">
        <is>
          <t>Scenarios!$C$13:$G$13</t>
        </is>
      </c>
      <c r="D268" s="6" t="inlineStr">
        <is>
          <t>Scenario result column headers</t>
        </is>
      </c>
    </row>
    <row r="269">
      <c r="B269" s="193" t="inlineStr">
        <is>
          <t>sc_shift</t>
        </is>
      </c>
      <c r="C269" s="6" t="inlineStr">
        <is>
          <t>Scenarios!$C$7:$F$7</t>
        </is>
      </c>
      <c r="D269" s="6" t="inlineStr">
        <is>
          <t>Scenario lever: EDATE month shift applied to planned rows</t>
        </is>
      </c>
    </row>
    <row r="270">
      <c r="B270" s="193" t="inlineStr">
        <is>
          <t>se_block</t>
        </is>
      </c>
      <c r="C270" s="6" t="inlineStr">
        <is>
          <t>Inputs!$B$324:$M$347</t>
        </is>
      </c>
      <c r="D270" s="6" t="inlineStr">
        <is>
          <t>Seasonality 12-month weight block</t>
        </is>
      </c>
    </row>
    <row r="271">
      <c r="B271" s="193" t="inlineStr">
        <is>
          <t>se_state</t>
        </is>
      </c>
      <c r="C271" s="6" t="inlineStr">
        <is>
          <t>Inputs!$A$324:$A$347</t>
        </is>
      </c>
      <c r="D271" s="6" t="inlineStr">
        <is>
          <t>Seasonality state column</t>
        </is>
      </c>
    </row>
    <row r="272">
      <c r="B272" s="193" t="inlineStr">
        <is>
          <t>se_sum</t>
        </is>
      </c>
      <c r="C272" s="6" t="inlineStr">
        <is>
          <t>Inputs!$N$324:$N$347</t>
        </is>
      </c>
      <c r="D272" s="6" t="inlineStr">
        <is>
          <t>Helper: seasonality row sums</t>
        </is>
      </c>
    </row>
    <row r="273">
      <c r="B273" s="193" t="inlineStr">
        <is>
          <t>slv_absmi</t>
        </is>
      </c>
      <c r="C273" s="6" t="inlineStr">
        <is>
          <t>_calc!$G$4675:$G$4722</t>
        </is>
      </c>
      <c r="D273" s="6" t="inlineStr">
        <is>
          <t>Solver block: absolute cohort month indices</t>
        </is>
      </c>
    </row>
    <row r="274">
      <c r="B274" s="193" t="inlineStr">
        <is>
          <t>slv_cum</t>
        </is>
      </c>
      <c r="C274" s="6" t="inlineStr">
        <is>
          <t>_calc!$T$4675:$T$4722</t>
        </is>
      </c>
      <c r="D274" s="6" t="inlineStr">
        <is>
          <t>Solver block: cumulative w-ec-W0</t>
        </is>
      </c>
    </row>
    <row r="275">
      <c r="B275" s="193" t="inlineStr">
        <is>
          <t>slv_den</t>
        </is>
      </c>
      <c r="C275" s="6" t="inlineStr">
        <is>
          <t>_calc!$B$4723</t>
        </is>
      </c>
      <c r="D275" s="6" t="inlineStr">
        <is>
          <t>Solver denominator D = SUM w-ec over CY P</t>
        </is>
      </c>
    </row>
    <row r="276">
      <c r="B276" s="193" t="inlineStr">
        <is>
          <t>slv_dfirst</t>
        </is>
      </c>
      <c r="C276" s="6" t="inlineStr">
        <is>
          <t>_calc!$L$4675:$L$4722</t>
        </is>
      </c>
      <c r="D276" s="6" t="inlineStr">
        <is>
          <t>Solver block: first-taken-change days on/after</t>
        </is>
      </c>
    </row>
    <row r="277">
      <c r="B277" s="193" t="inlineStr">
        <is>
          <t>slv_ecp</t>
        </is>
      </c>
      <c r="C277" s="6" t="inlineStr">
        <is>
          <t>_calc!$Q$4675:$Q$4722</t>
        </is>
      </c>
      <c r="D277" s="6" t="inlineStr">
        <is>
          <t>Solver block: CY P earning fractions</t>
        </is>
      </c>
    </row>
    <row r="278">
      <c r="B278" s="193" t="inlineStr">
        <is>
          <t>slv_total</t>
        </is>
      </c>
      <c r="C278" s="6" t="inlineStr">
        <is>
          <t>_calc!$C$4723</t>
        </is>
      </c>
      <c r="D278" s="6" t="inlineStr">
        <is>
          <t>Solver total SUM w-ec-W0 over CY P</t>
        </is>
      </c>
    </row>
    <row r="279">
      <c r="B279" s="193" t="inlineStr">
        <is>
          <t>slv_w</t>
        </is>
      </c>
      <c r="C279" s="6" t="inlineStr">
        <is>
          <t>_calc!$H$4675:$H$4722</t>
        </is>
      </c>
      <c r="D279" s="6" t="inlineStr">
        <is>
          <t>Solver block: written weights</t>
        </is>
      </c>
    </row>
    <row r="280">
      <c r="B280" s="193" t="inlineStr">
        <is>
          <t>slv_weom</t>
        </is>
      </c>
      <c r="C280" s="6" t="inlineStr">
        <is>
          <t>_calc!$J$4675:$J$4722</t>
        </is>
      </c>
      <c r="D280" s="6" t="inlineStr">
        <is>
          <t>Solver block: end-of-month index W0_eom</t>
        </is>
      </c>
    </row>
    <row r="281">
      <c r="B281" s="193" t="inlineStr">
        <is>
          <t>slv_weom_c</t>
        </is>
      </c>
      <c r="C281" s="6" t="inlineStr">
        <is>
          <t>_calc!$U$4675:$U$4722</t>
        </is>
      </c>
      <c r="D281" s="6" t="inlineStr">
        <is>
          <t>Solver block: w-ec-W0_eom by cohort</t>
        </is>
      </c>
    </row>
    <row r="282">
      <c r="B282" s="193" t="inlineStr">
        <is>
          <t>slv_widx</t>
        </is>
      </c>
      <c r="C282" s="6" t="inlineStr">
        <is>
          <t>_calc!$N$4675:$N$4722</t>
        </is>
      </c>
      <c r="D282" s="6" t="inlineStr">
        <is>
          <t>Solver block: taken-only written index W0 (blended)</t>
        </is>
      </c>
    </row>
    <row r="283">
      <c r="B283" s="193"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94" t="inlineStr">
        <is>
          <t>_calc (hidden): per-combo engine blocks generated by src/build_workbook.py. Same formula pattern as the visible Rate Engine; do not edit.</t>
        </is>
      </c>
    </row>
    <row r="3">
      <c r="A3" s="194" t="inlineStr">
        <is>
          <t>key</t>
        </is>
      </c>
      <c r="B3" s="194" t="inlineStr">
        <is>
          <t>T</t>
        </is>
      </c>
      <c r="C3" s="194" t="inlineStr">
        <is>
          <t>CRL</t>
        </is>
      </c>
      <c r="D3" s="194" t="inlineStr">
        <is>
          <t>E_CY(P-1)</t>
        </is>
      </c>
      <c r="E3" s="194" t="inlineStr">
        <is>
          <t>E_CY(P)</t>
        </is>
      </c>
      <c r="F3" s="194" t="inlineStr">
        <is>
          <t>E_CY(P+1)</t>
        </is>
      </c>
      <c r="G3" s="194" t="inlineStr">
        <is>
          <t>Mbar(P)</t>
        </is>
      </c>
      <c r="H3" s="194" t="inlineStr">
        <is>
          <t>Mbar(P+1)</t>
        </is>
      </c>
      <c r="I3" s="194" t="inlineStr">
        <is>
          <t>A_rate(P)</t>
        </is>
      </c>
      <c r="J3" s="194" t="inlineStr">
        <is>
          <t>A_rate(P+1)</t>
        </is>
      </c>
      <c r="K3" s="194" t="inlineStr">
        <is>
          <t>A_mod(P)</t>
        </is>
      </c>
      <c r="L3" s="194" t="inlineStr">
        <is>
          <t>A_mod(P+1)</t>
        </is>
      </c>
      <c r="M3" s="194" t="inlineStr">
        <is>
          <t>LR_current</t>
        </is>
      </c>
      <c r="N3" s="194" t="inlineStr">
        <is>
          <t>CY LR(P)</t>
        </is>
      </c>
      <c r="O3" s="194" t="inlineStr">
        <is>
          <t>CY LR(P+1)</t>
        </is>
      </c>
      <c r="P3" s="194" t="inlineStr">
        <is>
          <t>EChg vs ind</t>
        </is>
      </c>
      <c r="Q3" s="194" t="inlineStr">
        <is>
          <t>Carryover</t>
        </is>
      </c>
      <c r="R3" s="194" t="inlineStr">
        <is>
          <t>A_other</t>
        </is>
      </c>
      <c r="S3" s="194" t="inlineStr">
        <is>
          <t>trend</t>
        </is>
      </c>
    </row>
    <row r="4">
      <c r="A4" s="6">
        <f>$A$76</f>
        <v/>
      </c>
      <c r="B4" s="61">
        <f>$C$76</f>
        <v/>
      </c>
      <c r="C4" s="59">
        <f>$B$127</f>
        <v/>
      </c>
      <c r="D4" s="59">
        <f>$C$127</f>
        <v/>
      </c>
      <c r="E4" s="59">
        <f>$D$127</f>
        <v/>
      </c>
      <c r="F4" s="59">
        <f>$E$127</f>
        <v/>
      </c>
      <c r="G4" s="176">
        <f>$F$127</f>
        <v/>
      </c>
      <c r="H4" s="176">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195">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76">
        <f>$F$181</f>
        <v/>
      </c>
      <c r="H5" s="176">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195">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76">
        <f>$F$235</f>
        <v/>
      </c>
      <c r="H6" s="176">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195">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76">
        <f>$F$289</f>
        <v/>
      </c>
      <c r="H7" s="176">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195">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76">
        <f>$F$343</f>
        <v/>
      </c>
      <c r="H8" s="176">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195">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76">
        <f>$F$397</f>
        <v/>
      </c>
      <c r="H9" s="176">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195">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76">
        <f>$F$451</f>
        <v/>
      </c>
      <c r="H10" s="176">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195">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76">
        <f>$F$505</f>
        <v/>
      </c>
      <c r="H11" s="176">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195">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76">
        <f>$F$559</f>
        <v/>
      </c>
      <c r="H12" s="176">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195">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76">
        <f>$F$613</f>
        <v/>
      </c>
      <c r="H13" s="176">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195">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76">
        <f>$F$667</f>
        <v/>
      </c>
      <c r="H14" s="176">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195">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76">
        <f>$F$721</f>
        <v/>
      </c>
      <c r="H15" s="176">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195">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76">
        <f>$F$775</f>
        <v/>
      </c>
      <c r="H16" s="176">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195">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76">
        <f>$F$829</f>
        <v/>
      </c>
      <c r="H17" s="176">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195">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76">
        <f>$F$883</f>
        <v/>
      </c>
      <c r="H18" s="176">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195">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76">
        <f>$F$937</f>
        <v/>
      </c>
      <c r="H19" s="176">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195">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76">
        <f>$F$991</f>
        <v/>
      </c>
      <c r="H20" s="176">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195">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76">
        <f>$F$1045</f>
        <v/>
      </c>
      <c r="H21" s="176">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195">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76">
        <f>$F$1099</f>
        <v/>
      </c>
      <c r="H22" s="176">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195">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76">
        <f>$F$1153</f>
        <v/>
      </c>
      <c r="H23" s="176">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195">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76">
        <f>$F$1207</f>
        <v/>
      </c>
      <c r="H24" s="176">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195">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76">
        <f>$F$1261</f>
        <v/>
      </c>
      <c r="H25" s="176">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195">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76">
        <f>$F$1315</f>
        <v/>
      </c>
      <c r="H26" s="176">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195">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76">
        <f>$F$1369</f>
        <v/>
      </c>
      <c r="H27" s="176">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195">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76">
        <f>$F$1423</f>
        <v/>
      </c>
      <c r="H28" s="176">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195">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76">
        <f>$F$1477</f>
        <v/>
      </c>
      <c r="H29" s="176">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195">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76">
        <f>$F$1531</f>
        <v/>
      </c>
      <c r="H30" s="176">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195">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76">
        <f>$F$1585</f>
        <v/>
      </c>
      <c r="H31" s="176">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195">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76">
        <f>$F$1639</f>
        <v/>
      </c>
      <c r="H32" s="176">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195">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76">
        <f>$F$1693</f>
        <v/>
      </c>
      <c r="H33" s="176">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195">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76">
        <f>$F$1747</f>
        <v/>
      </c>
      <c r="H34" s="176">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195">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76">
        <f>$F$1801</f>
        <v/>
      </c>
      <c r="H35" s="176">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195">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76">
        <f>$F$1855</f>
        <v/>
      </c>
      <c r="H36" s="176">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195">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76">
        <f>$F$1909</f>
        <v/>
      </c>
      <c r="H37" s="176">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195">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76">
        <f>$F$1963</f>
        <v/>
      </c>
      <c r="H38" s="176">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195">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76">
        <f>$F$2017</f>
        <v/>
      </c>
      <c r="H39" s="176">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195">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76">
        <f>$F$2071</f>
        <v/>
      </c>
      <c r="H40" s="176">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195">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76">
        <f>$F$2125</f>
        <v/>
      </c>
      <c r="H41" s="176">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195">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76">
        <f>$F$2179</f>
        <v/>
      </c>
      <c r="H42" s="176">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195">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76">
        <f>$F$2233</f>
        <v/>
      </c>
      <c r="H43" s="176">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195">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76">
        <f>$F$2287</f>
        <v/>
      </c>
      <c r="H44" s="176">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195">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76">
        <f>$F$2341</f>
        <v/>
      </c>
      <c r="H45" s="176">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195">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76">
        <f>$F$2395</f>
        <v/>
      </c>
      <c r="H46" s="176">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195">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76">
        <f>$F$2449</f>
        <v/>
      </c>
      <c r="H47" s="176">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195">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76">
        <f>$F$2503</f>
        <v/>
      </c>
      <c r="H48" s="176">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195">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76">
        <f>$F$2557</f>
        <v/>
      </c>
      <c r="H49" s="176">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195">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76">
        <f>$F$2611</f>
        <v/>
      </c>
      <c r="H50" s="176">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195">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76">
        <f>$F$2665</f>
        <v/>
      </c>
      <c r="H51" s="176">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195">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76">
        <f>$F$2719</f>
        <v/>
      </c>
      <c r="H52" s="176">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195">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76">
        <f>$F$2773</f>
        <v/>
      </c>
      <c r="H53" s="176">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195">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76">
        <f>$F$2827</f>
        <v/>
      </c>
      <c r="H54" s="176">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195">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76">
        <f>$F$2881</f>
        <v/>
      </c>
      <c r="H55" s="176">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195">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76">
        <f>$F$2935</f>
        <v/>
      </c>
      <c r="H56" s="176">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195">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76">
        <f>$F$2989</f>
        <v/>
      </c>
      <c r="H57" s="176">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195">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76">
        <f>$F$3043</f>
        <v/>
      </c>
      <c r="H58" s="176">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195">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76">
        <f>$F$3097</f>
        <v/>
      </c>
      <c r="H59" s="176">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195">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76">
        <f>$F$3151</f>
        <v/>
      </c>
      <c r="H60" s="176">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195">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76">
        <f>$F$3205</f>
        <v/>
      </c>
      <c r="H61" s="176">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195">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76">
        <f>$F$3259</f>
        <v/>
      </c>
      <c r="H62" s="176">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195">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76">
        <f>$F$3313</f>
        <v/>
      </c>
      <c r="H63" s="176">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195">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76">
        <f>$F$3367</f>
        <v/>
      </c>
      <c r="H64" s="176">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195">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76">
        <f>$F$3421</f>
        <v/>
      </c>
      <c r="H65" s="176">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195">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76">
        <f>$F$3475</f>
        <v/>
      </c>
      <c r="H66" s="176">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195">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76">
        <f>$F$3529</f>
        <v/>
      </c>
      <c r="H67" s="176">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195">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76">
        <f>$F$3583</f>
        <v/>
      </c>
      <c r="H68" s="176">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195">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76">
        <f>$F$3637</f>
        <v/>
      </c>
      <c r="H69" s="176">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195">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76">
        <f>$F$3691</f>
        <v/>
      </c>
      <c r="H70" s="176">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195">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76">
        <f>$F$3745</f>
        <v/>
      </c>
      <c r="H71" s="176">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195">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76">
        <f>$F$3799</f>
        <v/>
      </c>
      <c r="H72" s="176">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195">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76">
        <f>IF(N(INDEX(lr_mind,1))=0,1,INDEX(lr_mind,1))</f>
        <v/>
      </c>
      <c r="G76" s="176">
        <f>IF(N(INDEX(lr_m0,1))=0,1,INDEX(lr_m0,1))</f>
        <v/>
      </c>
      <c r="H76" s="60">
        <f>IF(N(INDEX(lr_m0asof,1))=0,DATE(nr_PlanYear-1,10,1),INDEX(lr_m0asof,1))</f>
        <v/>
      </c>
      <c r="I76" s="176">
        <f>IF(N(INDEX(lr_m1,1))=0,1,INDEX(lr_m1,1))</f>
        <v/>
      </c>
      <c r="J76" s="176">
        <f>INDEX(lr_mprior,1)</f>
        <v/>
      </c>
      <c r="K76" s="176">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76">
        <f>SUMPRODUCT($H$79:$H$126,$Q$79:$Q$126,$O$79:$O$126)/SUMPRODUCT($H$79:$H$126,$Q$79:$Q$126)</f>
        <v/>
      </c>
      <c r="G127" s="176">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76">
        <f>IF(N(INDEX(lr_mind,2))=0,1,INDEX(lr_mind,2))</f>
        <v/>
      </c>
      <c r="G130" s="176">
        <f>IF(N(INDEX(lr_m0,2))=0,1,INDEX(lr_m0,2))</f>
        <v/>
      </c>
      <c r="H130" s="60">
        <f>IF(N(INDEX(lr_m0asof,2))=0,DATE(nr_PlanYear-1,10,1),INDEX(lr_m0asof,2))</f>
        <v/>
      </c>
      <c r="I130" s="176">
        <f>IF(N(INDEX(lr_m1,2))=0,1,INDEX(lr_m1,2))</f>
        <v/>
      </c>
      <c r="J130" s="176">
        <f>INDEX(lr_mprior,2)</f>
        <v/>
      </c>
      <c r="K130" s="176">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76">
        <f>SUMPRODUCT($H$133:$H$180,$Q$133:$Q$180,$O$133:$O$180)/SUMPRODUCT($H$133:$H$180,$Q$133:$Q$180)</f>
        <v/>
      </c>
      <c r="G181" s="176">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76">
        <f>IF(N(INDEX(lr_mind,3))=0,1,INDEX(lr_mind,3))</f>
        <v/>
      </c>
      <c r="G184" s="176">
        <f>IF(N(INDEX(lr_m0,3))=0,1,INDEX(lr_m0,3))</f>
        <v/>
      </c>
      <c r="H184" s="60">
        <f>IF(N(INDEX(lr_m0asof,3))=0,DATE(nr_PlanYear-1,10,1),INDEX(lr_m0asof,3))</f>
        <v/>
      </c>
      <c r="I184" s="176">
        <f>IF(N(INDEX(lr_m1,3))=0,1,INDEX(lr_m1,3))</f>
        <v/>
      </c>
      <c r="J184" s="176">
        <f>INDEX(lr_mprior,3)</f>
        <v/>
      </c>
      <c r="K184" s="176">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76">
        <f>SUMPRODUCT($H$187:$H$234,$Q$187:$Q$234,$O$187:$O$234)/SUMPRODUCT($H$187:$H$234,$Q$187:$Q$234)</f>
        <v/>
      </c>
      <c r="G235" s="176">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76">
        <f>IF(N(INDEX(lr_mind,4))=0,1,INDEX(lr_mind,4))</f>
        <v/>
      </c>
      <c r="G238" s="176">
        <f>IF(N(INDEX(lr_m0,4))=0,1,INDEX(lr_m0,4))</f>
        <v/>
      </c>
      <c r="H238" s="60">
        <f>IF(N(INDEX(lr_m0asof,4))=0,DATE(nr_PlanYear-1,10,1),INDEX(lr_m0asof,4))</f>
        <v/>
      </c>
      <c r="I238" s="176">
        <f>IF(N(INDEX(lr_m1,4))=0,1,INDEX(lr_m1,4))</f>
        <v/>
      </c>
      <c r="J238" s="176">
        <f>INDEX(lr_mprior,4)</f>
        <v/>
      </c>
      <c r="K238" s="176">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76">
        <f>SUMPRODUCT($H$241:$H$288,$Q$241:$Q$288,$O$241:$O$288)/SUMPRODUCT($H$241:$H$288,$Q$241:$Q$288)</f>
        <v/>
      </c>
      <c r="G289" s="176">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76">
        <f>IF(N(INDEX(lr_mind,5))=0,1,INDEX(lr_mind,5))</f>
        <v/>
      </c>
      <c r="G292" s="176">
        <f>IF(N(INDEX(lr_m0,5))=0,1,INDEX(lr_m0,5))</f>
        <v/>
      </c>
      <c r="H292" s="60">
        <f>IF(N(INDEX(lr_m0asof,5))=0,DATE(nr_PlanYear-1,10,1),INDEX(lr_m0asof,5))</f>
        <v/>
      </c>
      <c r="I292" s="176">
        <f>IF(N(INDEX(lr_m1,5))=0,1,INDEX(lr_m1,5))</f>
        <v/>
      </c>
      <c r="J292" s="176">
        <f>INDEX(lr_mprior,5)</f>
        <v/>
      </c>
      <c r="K292" s="176">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76">
        <f>SUMPRODUCT($H$295:$H$342,$Q$295:$Q$342,$O$295:$O$342)/SUMPRODUCT($H$295:$H$342,$Q$295:$Q$342)</f>
        <v/>
      </c>
      <c r="G343" s="176">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76">
        <f>IF(N(INDEX(lr_mind,6))=0,1,INDEX(lr_mind,6))</f>
        <v/>
      </c>
      <c r="G346" s="176">
        <f>IF(N(INDEX(lr_m0,6))=0,1,INDEX(lr_m0,6))</f>
        <v/>
      </c>
      <c r="H346" s="60">
        <f>IF(N(INDEX(lr_m0asof,6))=0,DATE(nr_PlanYear-1,10,1),INDEX(lr_m0asof,6))</f>
        <v/>
      </c>
      <c r="I346" s="176">
        <f>IF(N(INDEX(lr_m1,6))=0,1,INDEX(lr_m1,6))</f>
        <v/>
      </c>
      <c r="J346" s="176">
        <f>INDEX(lr_mprior,6)</f>
        <v/>
      </c>
      <c r="K346" s="176">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76">
        <f>SUMPRODUCT($H$349:$H$396,$Q$349:$Q$396,$O$349:$O$396)/SUMPRODUCT($H$349:$H$396,$Q$349:$Q$396)</f>
        <v/>
      </c>
      <c r="G397" s="176">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76">
        <f>IF(N(INDEX(lr_mind,7))=0,1,INDEX(lr_mind,7))</f>
        <v/>
      </c>
      <c r="G400" s="176">
        <f>IF(N(INDEX(lr_m0,7))=0,1,INDEX(lr_m0,7))</f>
        <v/>
      </c>
      <c r="H400" s="60">
        <f>IF(N(INDEX(lr_m0asof,7))=0,DATE(nr_PlanYear-1,10,1),INDEX(lr_m0asof,7))</f>
        <v/>
      </c>
      <c r="I400" s="176">
        <f>IF(N(INDEX(lr_m1,7))=0,1,INDEX(lr_m1,7))</f>
        <v/>
      </c>
      <c r="J400" s="176">
        <f>INDEX(lr_mprior,7)</f>
        <v/>
      </c>
      <c r="K400" s="176">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76">
        <f>SUMPRODUCT($H$403:$H$450,$Q$403:$Q$450,$O$403:$O$450)/SUMPRODUCT($H$403:$H$450,$Q$403:$Q$450)</f>
        <v/>
      </c>
      <c r="G451" s="176">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76">
        <f>IF(N(INDEX(lr_mind,8))=0,1,INDEX(lr_mind,8))</f>
        <v/>
      </c>
      <c r="G454" s="176">
        <f>IF(N(INDEX(lr_m0,8))=0,1,INDEX(lr_m0,8))</f>
        <v/>
      </c>
      <c r="H454" s="60">
        <f>IF(N(INDEX(lr_m0asof,8))=0,DATE(nr_PlanYear-1,10,1),INDEX(lr_m0asof,8))</f>
        <v/>
      </c>
      <c r="I454" s="176">
        <f>IF(N(INDEX(lr_m1,8))=0,1,INDEX(lr_m1,8))</f>
        <v/>
      </c>
      <c r="J454" s="176">
        <f>INDEX(lr_mprior,8)</f>
        <v/>
      </c>
      <c r="K454" s="176">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76">
        <f>SUMPRODUCT($H$457:$H$504,$Q$457:$Q$504,$O$457:$O$504)/SUMPRODUCT($H$457:$H$504,$Q$457:$Q$504)</f>
        <v/>
      </c>
      <c r="G505" s="176">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76">
        <f>IF(N(INDEX(lr_mind,9))=0,1,INDEX(lr_mind,9))</f>
        <v/>
      </c>
      <c r="G508" s="176">
        <f>IF(N(INDEX(lr_m0,9))=0,1,INDEX(lr_m0,9))</f>
        <v/>
      </c>
      <c r="H508" s="60">
        <f>IF(N(INDEX(lr_m0asof,9))=0,DATE(nr_PlanYear-1,10,1),INDEX(lr_m0asof,9))</f>
        <v/>
      </c>
      <c r="I508" s="176">
        <f>IF(N(INDEX(lr_m1,9))=0,1,INDEX(lr_m1,9))</f>
        <v/>
      </c>
      <c r="J508" s="176">
        <f>INDEX(lr_mprior,9)</f>
        <v/>
      </c>
      <c r="K508" s="176">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76">
        <f>SUMPRODUCT($H$511:$H$558,$Q$511:$Q$558,$O$511:$O$558)/SUMPRODUCT($H$511:$H$558,$Q$511:$Q$558)</f>
        <v/>
      </c>
      <c r="G559" s="176">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76">
        <f>IF(N(INDEX(lr_mind,10))=0,1,INDEX(lr_mind,10))</f>
        <v/>
      </c>
      <c r="G562" s="176">
        <f>IF(N(INDEX(lr_m0,10))=0,1,INDEX(lr_m0,10))</f>
        <v/>
      </c>
      <c r="H562" s="60">
        <f>IF(N(INDEX(lr_m0asof,10))=0,DATE(nr_PlanYear-1,10,1),INDEX(lr_m0asof,10))</f>
        <v/>
      </c>
      <c r="I562" s="176">
        <f>IF(N(INDEX(lr_m1,10))=0,1,INDEX(lr_m1,10))</f>
        <v/>
      </c>
      <c r="J562" s="176">
        <f>INDEX(lr_mprior,10)</f>
        <v/>
      </c>
      <c r="K562" s="176">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76">
        <f>SUMPRODUCT($H$565:$H$612,$Q$565:$Q$612,$O$565:$O$612)/SUMPRODUCT($H$565:$H$612,$Q$565:$Q$612)</f>
        <v/>
      </c>
      <c r="G613" s="176">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76">
        <f>IF(N(INDEX(lr_mind,11))=0,1,INDEX(lr_mind,11))</f>
        <v/>
      </c>
      <c r="G616" s="176">
        <f>IF(N(INDEX(lr_m0,11))=0,1,INDEX(lr_m0,11))</f>
        <v/>
      </c>
      <c r="H616" s="60">
        <f>IF(N(INDEX(lr_m0asof,11))=0,DATE(nr_PlanYear-1,10,1),INDEX(lr_m0asof,11))</f>
        <v/>
      </c>
      <c r="I616" s="176">
        <f>IF(N(INDEX(lr_m1,11))=0,1,INDEX(lr_m1,11))</f>
        <v/>
      </c>
      <c r="J616" s="176">
        <f>INDEX(lr_mprior,11)</f>
        <v/>
      </c>
      <c r="K616" s="176">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76">
        <f>SUMPRODUCT($H$619:$H$666,$Q$619:$Q$666,$O$619:$O$666)/SUMPRODUCT($H$619:$H$666,$Q$619:$Q$666)</f>
        <v/>
      </c>
      <c r="G667" s="176">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76">
        <f>IF(N(INDEX(lr_mind,12))=0,1,INDEX(lr_mind,12))</f>
        <v/>
      </c>
      <c r="G670" s="176">
        <f>IF(N(INDEX(lr_m0,12))=0,1,INDEX(lr_m0,12))</f>
        <v/>
      </c>
      <c r="H670" s="60">
        <f>IF(N(INDEX(lr_m0asof,12))=0,DATE(nr_PlanYear-1,10,1),INDEX(lr_m0asof,12))</f>
        <v/>
      </c>
      <c r="I670" s="176">
        <f>IF(N(INDEX(lr_m1,12))=0,1,INDEX(lr_m1,12))</f>
        <v/>
      </c>
      <c r="J670" s="176">
        <f>INDEX(lr_mprior,12)</f>
        <v/>
      </c>
      <c r="K670" s="176">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76">
        <f>SUMPRODUCT($H$673:$H$720,$Q$673:$Q$720,$O$673:$O$720)/SUMPRODUCT($H$673:$H$720,$Q$673:$Q$720)</f>
        <v/>
      </c>
      <c r="G721" s="176">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76">
        <f>IF(N(INDEX(lr_mind,13))=0,1,INDEX(lr_mind,13))</f>
        <v/>
      </c>
      <c r="G724" s="176">
        <f>IF(N(INDEX(lr_m0,13))=0,1,INDEX(lr_m0,13))</f>
        <v/>
      </c>
      <c r="H724" s="60">
        <f>IF(N(INDEX(lr_m0asof,13))=0,DATE(nr_PlanYear-1,10,1),INDEX(lr_m0asof,13))</f>
        <v/>
      </c>
      <c r="I724" s="176">
        <f>IF(N(INDEX(lr_m1,13))=0,1,INDEX(lr_m1,13))</f>
        <v/>
      </c>
      <c r="J724" s="176">
        <f>INDEX(lr_mprior,13)</f>
        <v/>
      </c>
      <c r="K724" s="176">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76">
        <f>SUMPRODUCT($H$727:$H$774,$Q$727:$Q$774,$O$727:$O$774)/SUMPRODUCT($H$727:$H$774,$Q$727:$Q$774)</f>
        <v/>
      </c>
      <c r="G775" s="176">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76">
        <f>IF(N(INDEX(lr_mind,14))=0,1,INDEX(lr_mind,14))</f>
        <v/>
      </c>
      <c r="G778" s="176">
        <f>IF(N(INDEX(lr_m0,14))=0,1,INDEX(lr_m0,14))</f>
        <v/>
      </c>
      <c r="H778" s="60">
        <f>IF(N(INDEX(lr_m0asof,14))=0,DATE(nr_PlanYear-1,10,1),INDEX(lr_m0asof,14))</f>
        <v/>
      </c>
      <c r="I778" s="176">
        <f>IF(N(INDEX(lr_m1,14))=0,1,INDEX(lr_m1,14))</f>
        <v/>
      </c>
      <c r="J778" s="176">
        <f>INDEX(lr_mprior,14)</f>
        <v/>
      </c>
      <c r="K778" s="176">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76">
        <f>SUMPRODUCT($H$781:$H$828,$Q$781:$Q$828,$O$781:$O$828)/SUMPRODUCT($H$781:$H$828,$Q$781:$Q$828)</f>
        <v/>
      </c>
      <c r="G829" s="176">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76">
        <f>IF(N(INDEX(lr_mind,15))=0,1,INDEX(lr_mind,15))</f>
        <v/>
      </c>
      <c r="G832" s="176">
        <f>IF(N(INDEX(lr_m0,15))=0,1,INDEX(lr_m0,15))</f>
        <v/>
      </c>
      <c r="H832" s="60">
        <f>IF(N(INDEX(lr_m0asof,15))=0,DATE(nr_PlanYear-1,10,1),INDEX(lr_m0asof,15))</f>
        <v/>
      </c>
      <c r="I832" s="176">
        <f>IF(N(INDEX(lr_m1,15))=0,1,INDEX(lr_m1,15))</f>
        <v/>
      </c>
      <c r="J832" s="176">
        <f>INDEX(lr_mprior,15)</f>
        <v/>
      </c>
      <c r="K832" s="176">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76">
        <f>SUMPRODUCT($H$835:$H$882,$Q$835:$Q$882,$O$835:$O$882)/SUMPRODUCT($H$835:$H$882,$Q$835:$Q$882)</f>
        <v/>
      </c>
      <c r="G883" s="176">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76">
        <f>IF(N(INDEX(lr_mind,16))=0,1,INDEX(lr_mind,16))</f>
        <v/>
      </c>
      <c r="G886" s="176">
        <f>IF(N(INDEX(lr_m0,16))=0,1,INDEX(lr_m0,16))</f>
        <v/>
      </c>
      <c r="H886" s="60">
        <f>IF(N(INDEX(lr_m0asof,16))=0,DATE(nr_PlanYear-1,10,1),INDEX(lr_m0asof,16))</f>
        <v/>
      </c>
      <c r="I886" s="176">
        <f>IF(N(INDEX(lr_m1,16))=0,1,INDEX(lr_m1,16))</f>
        <v/>
      </c>
      <c r="J886" s="176">
        <f>INDEX(lr_mprior,16)</f>
        <v/>
      </c>
      <c r="K886" s="176">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76">
        <f>SUMPRODUCT($H$889:$H$936,$Q$889:$Q$936,$O$889:$O$936)/SUMPRODUCT($H$889:$H$936,$Q$889:$Q$936)</f>
        <v/>
      </c>
      <c r="G937" s="176">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76">
        <f>IF(N(INDEX(lr_mind,17))=0,1,INDEX(lr_mind,17))</f>
        <v/>
      </c>
      <c r="G940" s="176">
        <f>IF(N(INDEX(lr_m0,17))=0,1,INDEX(lr_m0,17))</f>
        <v/>
      </c>
      <c r="H940" s="60">
        <f>IF(N(INDEX(lr_m0asof,17))=0,DATE(nr_PlanYear-1,10,1),INDEX(lr_m0asof,17))</f>
        <v/>
      </c>
      <c r="I940" s="176">
        <f>IF(N(INDEX(lr_m1,17))=0,1,INDEX(lr_m1,17))</f>
        <v/>
      </c>
      <c r="J940" s="176">
        <f>INDEX(lr_mprior,17)</f>
        <v/>
      </c>
      <c r="K940" s="176">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76">
        <f>SUMPRODUCT($H$943:$H$990,$Q$943:$Q$990,$O$943:$O$990)/SUMPRODUCT($H$943:$H$990,$Q$943:$Q$990)</f>
        <v/>
      </c>
      <c r="G991" s="176">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76">
        <f>IF(N(INDEX(lr_mind,18))=0,1,INDEX(lr_mind,18))</f>
        <v/>
      </c>
      <c r="G994" s="176">
        <f>IF(N(INDEX(lr_m0,18))=0,1,INDEX(lr_m0,18))</f>
        <v/>
      </c>
      <c r="H994" s="60">
        <f>IF(N(INDEX(lr_m0asof,18))=0,DATE(nr_PlanYear-1,10,1),INDEX(lr_m0asof,18))</f>
        <v/>
      </c>
      <c r="I994" s="176">
        <f>IF(N(INDEX(lr_m1,18))=0,1,INDEX(lr_m1,18))</f>
        <v/>
      </c>
      <c r="J994" s="176">
        <f>INDEX(lr_mprior,18)</f>
        <v/>
      </c>
      <c r="K994" s="176">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76">
        <f>SUMPRODUCT($H$997:$H$1044,$Q$997:$Q$1044,$O$997:$O$1044)/SUMPRODUCT($H$997:$H$1044,$Q$997:$Q$1044)</f>
        <v/>
      </c>
      <c r="G1045" s="176">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76">
        <f>IF(N(INDEX(lr_mind,19))=0,1,INDEX(lr_mind,19))</f>
        <v/>
      </c>
      <c r="G1048" s="176">
        <f>IF(N(INDEX(lr_m0,19))=0,1,INDEX(lr_m0,19))</f>
        <v/>
      </c>
      <c r="H1048" s="60">
        <f>IF(N(INDEX(lr_m0asof,19))=0,DATE(nr_PlanYear-1,10,1),INDEX(lr_m0asof,19))</f>
        <v/>
      </c>
      <c r="I1048" s="176">
        <f>IF(N(INDEX(lr_m1,19))=0,1,INDEX(lr_m1,19))</f>
        <v/>
      </c>
      <c r="J1048" s="176">
        <f>INDEX(lr_mprior,19)</f>
        <v/>
      </c>
      <c r="K1048" s="176">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76">
        <f>SUMPRODUCT($H$1051:$H$1098,$Q$1051:$Q$1098,$O$1051:$O$1098)/SUMPRODUCT($H$1051:$H$1098,$Q$1051:$Q$1098)</f>
        <v/>
      </c>
      <c r="G1099" s="176">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76">
        <f>IF(N(INDEX(lr_mind,20))=0,1,INDEX(lr_mind,20))</f>
        <v/>
      </c>
      <c r="G1102" s="176">
        <f>IF(N(INDEX(lr_m0,20))=0,1,INDEX(lr_m0,20))</f>
        <v/>
      </c>
      <c r="H1102" s="60">
        <f>IF(N(INDEX(lr_m0asof,20))=0,DATE(nr_PlanYear-1,10,1),INDEX(lr_m0asof,20))</f>
        <v/>
      </c>
      <c r="I1102" s="176">
        <f>IF(N(INDEX(lr_m1,20))=0,1,INDEX(lr_m1,20))</f>
        <v/>
      </c>
      <c r="J1102" s="176">
        <f>INDEX(lr_mprior,20)</f>
        <v/>
      </c>
      <c r="K1102" s="176">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76">
        <f>SUMPRODUCT($H$1105:$H$1152,$Q$1105:$Q$1152,$O$1105:$O$1152)/SUMPRODUCT($H$1105:$H$1152,$Q$1105:$Q$1152)</f>
        <v/>
      </c>
      <c r="G1153" s="176">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76">
        <f>IF(N(INDEX(lr_mind,21))=0,1,INDEX(lr_mind,21))</f>
        <v/>
      </c>
      <c r="G1156" s="176">
        <f>IF(N(INDEX(lr_m0,21))=0,1,INDEX(lr_m0,21))</f>
        <v/>
      </c>
      <c r="H1156" s="60">
        <f>IF(N(INDEX(lr_m0asof,21))=0,DATE(nr_PlanYear-1,10,1),INDEX(lr_m0asof,21))</f>
        <v/>
      </c>
      <c r="I1156" s="176">
        <f>IF(N(INDEX(lr_m1,21))=0,1,INDEX(lr_m1,21))</f>
        <v/>
      </c>
      <c r="J1156" s="176">
        <f>INDEX(lr_mprior,21)</f>
        <v/>
      </c>
      <c r="K1156" s="176">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76">
        <f>SUMPRODUCT($H$1159:$H$1206,$Q$1159:$Q$1206,$O$1159:$O$1206)/SUMPRODUCT($H$1159:$H$1206,$Q$1159:$Q$1206)</f>
        <v/>
      </c>
      <c r="G1207" s="176">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76">
        <f>IF(N(INDEX(lr_mind,22))=0,1,INDEX(lr_mind,22))</f>
        <v/>
      </c>
      <c r="G1210" s="176">
        <f>IF(N(INDEX(lr_m0,22))=0,1,INDEX(lr_m0,22))</f>
        <v/>
      </c>
      <c r="H1210" s="60">
        <f>IF(N(INDEX(lr_m0asof,22))=0,DATE(nr_PlanYear-1,10,1),INDEX(lr_m0asof,22))</f>
        <v/>
      </c>
      <c r="I1210" s="176">
        <f>IF(N(INDEX(lr_m1,22))=0,1,INDEX(lr_m1,22))</f>
        <v/>
      </c>
      <c r="J1210" s="176">
        <f>INDEX(lr_mprior,22)</f>
        <v/>
      </c>
      <c r="K1210" s="176">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76">
        <f>SUMPRODUCT($H$1213:$H$1260,$Q$1213:$Q$1260,$O$1213:$O$1260)/SUMPRODUCT($H$1213:$H$1260,$Q$1213:$Q$1260)</f>
        <v/>
      </c>
      <c r="G1261" s="176">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76">
        <f>IF(N(INDEX(lr_mind,23))=0,1,INDEX(lr_mind,23))</f>
        <v/>
      </c>
      <c r="G1264" s="176">
        <f>IF(N(INDEX(lr_m0,23))=0,1,INDEX(lr_m0,23))</f>
        <v/>
      </c>
      <c r="H1264" s="60">
        <f>IF(N(INDEX(lr_m0asof,23))=0,DATE(nr_PlanYear-1,10,1),INDEX(lr_m0asof,23))</f>
        <v/>
      </c>
      <c r="I1264" s="176">
        <f>IF(N(INDEX(lr_m1,23))=0,1,INDEX(lr_m1,23))</f>
        <v/>
      </c>
      <c r="J1264" s="176">
        <f>INDEX(lr_mprior,23)</f>
        <v/>
      </c>
      <c r="K1264" s="176">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76">
        <f>SUMPRODUCT($H$1267:$H$1314,$Q$1267:$Q$1314,$O$1267:$O$1314)/SUMPRODUCT($H$1267:$H$1314,$Q$1267:$Q$1314)</f>
        <v/>
      </c>
      <c r="G1315" s="176">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76">
        <f>IF(N(INDEX(lr_mind,24))=0,1,INDEX(lr_mind,24))</f>
        <v/>
      </c>
      <c r="G1318" s="176">
        <f>IF(N(INDEX(lr_m0,24))=0,1,INDEX(lr_m0,24))</f>
        <v/>
      </c>
      <c r="H1318" s="60">
        <f>IF(N(INDEX(lr_m0asof,24))=0,DATE(nr_PlanYear-1,10,1),INDEX(lr_m0asof,24))</f>
        <v/>
      </c>
      <c r="I1318" s="176">
        <f>IF(N(INDEX(lr_m1,24))=0,1,INDEX(lr_m1,24))</f>
        <v/>
      </c>
      <c r="J1318" s="176">
        <f>INDEX(lr_mprior,24)</f>
        <v/>
      </c>
      <c r="K1318" s="176">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76">
        <f>SUMPRODUCT($H$1321:$H$1368,$Q$1321:$Q$1368,$O$1321:$O$1368)/SUMPRODUCT($H$1321:$H$1368,$Q$1321:$Q$1368)</f>
        <v/>
      </c>
      <c r="G1369" s="176">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76">
        <f>IF(N(INDEX(lr_mind,25))=0,1,INDEX(lr_mind,25))</f>
        <v/>
      </c>
      <c r="G1372" s="176">
        <f>IF(N(INDEX(lr_m0,25))=0,1,INDEX(lr_m0,25))</f>
        <v/>
      </c>
      <c r="H1372" s="60">
        <f>IF(N(INDEX(lr_m0asof,25))=0,DATE(nr_PlanYear-1,10,1),INDEX(lr_m0asof,25))</f>
        <v/>
      </c>
      <c r="I1372" s="176">
        <f>IF(N(INDEX(lr_m1,25))=0,1,INDEX(lr_m1,25))</f>
        <v/>
      </c>
      <c r="J1372" s="176">
        <f>INDEX(lr_mprior,25)</f>
        <v/>
      </c>
      <c r="K1372" s="176">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76">
        <f>SUMPRODUCT($H$1375:$H$1422,$Q$1375:$Q$1422,$O$1375:$O$1422)/SUMPRODUCT($H$1375:$H$1422,$Q$1375:$Q$1422)</f>
        <v/>
      </c>
      <c r="G1423" s="176">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76">
        <f>IF(N(INDEX(lr_mind,26))=0,1,INDEX(lr_mind,26))</f>
        <v/>
      </c>
      <c r="G1426" s="176">
        <f>IF(N(INDEX(lr_m0,26))=0,1,INDEX(lr_m0,26))</f>
        <v/>
      </c>
      <c r="H1426" s="60">
        <f>IF(N(INDEX(lr_m0asof,26))=0,DATE(nr_PlanYear-1,10,1),INDEX(lr_m0asof,26))</f>
        <v/>
      </c>
      <c r="I1426" s="176">
        <f>IF(N(INDEX(lr_m1,26))=0,1,INDEX(lr_m1,26))</f>
        <v/>
      </c>
      <c r="J1426" s="176">
        <f>INDEX(lr_mprior,26)</f>
        <v/>
      </c>
      <c r="K1426" s="176">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76">
        <f>SUMPRODUCT($H$1429:$H$1476,$Q$1429:$Q$1476,$O$1429:$O$1476)/SUMPRODUCT($H$1429:$H$1476,$Q$1429:$Q$1476)</f>
        <v/>
      </c>
      <c r="G1477" s="176">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76">
        <f>IF(N(INDEX(lr_mind,27))=0,1,INDEX(lr_mind,27))</f>
        <v/>
      </c>
      <c r="G1480" s="176">
        <f>IF(N(INDEX(lr_m0,27))=0,1,INDEX(lr_m0,27))</f>
        <v/>
      </c>
      <c r="H1480" s="60">
        <f>IF(N(INDEX(lr_m0asof,27))=0,DATE(nr_PlanYear-1,10,1),INDEX(lr_m0asof,27))</f>
        <v/>
      </c>
      <c r="I1480" s="176">
        <f>IF(N(INDEX(lr_m1,27))=0,1,INDEX(lr_m1,27))</f>
        <v/>
      </c>
      <c r="J1480" s="176">
        <f>INDEX(lr_mprior,27)</f>
        <v/>
      </c>
      <c r="K1480" s="176">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76">
        <f>SUMPRODUCT($H$1483:$H$1530,$Q$1483:$Q$1530,$O$1483:$O$1530)/SUMPRODUCT($H$1483:$H$1530,$Q$1483:$Q$1530)</f>
        <v/>
      </c>
      <c r="G1531" s="176">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76">
        <f>IF(N(INDEX(lr_mind,28))=0,1,INDEX(lr_mind,28))</f>
        <v/>
      </c>
      <c r="G1534" s="176">
        <f>IF(N(INDEX(lr_m0,28))=0,1,INDEX(lr_m0,28))</f>
        <v/>
      </c>
      <c r="H1534" s="60">
        <f>IF(N(INDEX(lr_m0asof,28))=0,DATE(nr_PlanYear-1,10,1),INDEX(lr_m0asof,28))</f>
        <v/>
      </c>
      <c r="I1534" s="176">
        <f>IF(N(INDEX(lr_m1,28))=0,1,INDEX(lr_m1,28))</f>
        <v/>
      </c>
      <c r="J1534" s="176">
        <f>INDEX(lr_mprior,28)</f>
        <v/>
      </c>
      <c r="K1534" s="176">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76">
        <f>SUMPRODUCT($H$1537:$H$1584,$Q$1537:$Q$1584,$O$1537:$O$1584)/SUMPRODUCT($H$1537:$H$1584,$Q$1537:$Q$1584)</f>
        <v/>
      </c>
      <c r="G1585" s="176">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76">
        <f>IF(N(INDEX(lr_mind,29))=0,1,INDEX(lr_mind,29))</f>
        <v/>
      </c>
      <c r="G1588" s="176">
        <f>IF(N(INDEX(lr_m0,29))=0,1,INDEX(lr_m0,29))</f>
        <v/>
      </c>
      <c r="H1588" s="60">
        <f>IF(N(INDEX(lr_m0asof,29))=0,DATE(nr_PlanYear-1,10,1),INDEX(lr_m0asof,29))</f>
        <v/>
      </c>
      <c r="I1588" s="176">
        <f>IF(N(INDEX(lr_m1,29))=0,1,INDEX(lr_m1,29))</f>
        <v/>
      </c>
      <c r="J1588" s="176">
        <f>INDEX(lr_mprior,29)</f>
        <v/>
      </c>
      <c r="K1588" s="176">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76">
        <f>SUMPRODUCT($H$1591:$H$1638,$Q$1591:$Q$1638,$O$1591:$O$1638)/SUMPRODUCT($H$1591:$H$1638,$Q$1591:$Q$1638)</f>
        <v/>
      </c>
      <c r="G1639" s="176">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76">
        <f>IF(N(INDEX(lr_mind,30))=0,1,INDEX(lr_mind,30))</f>
        <v/>
      </c>
      <c r="G1642" s="176">
        <f>IF(N(INDEX(lr_m0,30))=0,1,INDEX(lr_m0,30))</f>
        <v/>
      </c>
      <c r="H1642" s="60">
        <f>IF(N(INDEX(lr_m0asof,30))=0,DATE(nr_PlanYear-1,10,1),INDEX(lr_m0asof,30))</f>
        <v/>
      </c>
      <c r="I1642" s="176">
        <f>IF(N(INDEX(lr_m1,30))=0,1,INDEX(lr_m1,30))</f>
        <v/>
      </c>
      <c r="J1642" s="176">
        <f>INDEX(lr_mprior,30)</f>
        <v/>
      </c>
      <c r="K1642" s="176">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76">
        <f>SUMPRODUCT($H$1645:$H$1692,$Q$1645:$Q$1692,$O$1645:$O$1692)/SUMPRODUCT($H$1645:$H$1692,$Q$1645:$Q$1692)</f>
        <v/>
      </c>
      <c r="G1693" s="176">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76">
        <f>IF(N(INDEX(lr_mind,31))=0,1,INDEX(lr_mind,31))</f>
        <v/>
      </c>
      <c r="G1696" s="176">
        <f>IF(N(INDEX(lr_m0,31))=0,1,INDEX(lr_m0,31))</f>
        <v/>
      </c>
      <c r="H1696" s="60">
        <f>IF(N(INDEX(lr_m0asof,31))=0,DATE(nr_PlanYear-1,10,1),INDEX(lr_m0asof,31))</f>
        <v/>
      </c>
      <c r="I1696" s="176">
        <f>IF(N(INDEX(lr_m1,31))=0,1,INDEX(lr_m1,31))</f>
        <v/>
      </c>
      <c r="J1696" s="176">
        <f>INDEX(lr_mprior,31)</f>
        <v/>
      </c>
      <c r="K1696" s="176">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76">
        <f>SUMPRODUCT($H$1699:$H$1746,$Q$1699:$Q$1746,$O$1699:$O$1746)/SUMPRODUCT($H$1699:$H$1746,$Q$1699:$Q$1746)</f>
        <v/>
      </c>
      <c r="G1747" s="176">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76">
        <f>IF(N(INDEX(lr_mind,32))=0,1,INDEX(lr_mind,32))</f>
        <v/>
      </c>
      <c r="G1750" s="176">
        <f>IF(N(INDEX(lr_m0,32))=0,1,INDEX(lr_m0,32))</f>
        <v/>
      </c>
      <c r="H1750" s="60">
        <f>IF(N(INDEX(lr_m0asof,32))=0,DATE(nr_PlanYear-1,10,1),INDEX(lr_m0asof,32))</f>
        <v/>
      </c>
      <c r="I1750" s="176">
        <f>IF(N(INDEX(lr_m1,32))=0,1,INDEX(lr_m1,32))</f>
        <v/>
      </c>
      <c r="J1750" s="176">
        <f>INDEX(lr_mprior,32)</f>
        <v/>
      </c>
      <c r="K1750" s="176">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76">
        <f>SUMPRODUCT($H$1753:$H$1800,$Q$1753:$Q$1800,$O$1753:$O$1800)/SUMPRODUCT($H$1753:$H$1800,$Q$1753:$Q$1800)</f>
        <v/>
      </c>
      <c r="G1801" s="176">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76">
        <f>IF(N(INDEX(lr_mind,33))=0,1,INDEX(lr_mind,33))</f>
        <v/>
      </c>
      <c r="G1804" s="176">
        <f>IF(N(INDEX(lr_m0,33))=0,1,INDEX(lr_m0,33))</f>
        <v/>
      </c>
      <c r="H1804" s="60">
        <f>IF(N(INDEX(lr_m0asof,33))=0,DATE(nr_PlanYear-1,10,1),INDEX(lr_m0asof,33))</f>
        <v/>
      </c>
      <c r="I1804" s="176">
        <f>IF(N(INDEX(lr_m1,33))=0,1,INDEX(lr_m1,33))</f>
        <v/>
      </c>
      <c r="J1804" s="176">
        <f>INDEX(lr_mprior,33)</f>
        <v/>
      </c>
      <c r="K1804" s="176">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76">
        <f>SUMPRODUCT($H$1807:$H$1854,$Q$1807:$Q$1854,$O$1807:$O$1854)/SUMPRODUCT($H$1807:$H$1854,$Q$1807:$Q$1854)</f>
        <v/>
      </c>
      <c r="G1855" s="176">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76">
        <f>IF(N(INDEX(lr_mind,34))=0,1,INDEX(lr_mind,34))</f>
        <v/>
      </c>
      <c r="G1858" s="176">
        <f>IF(N(INDEX(lr_m0,34))=0,1,INDEX(lr_m0,34))</f>
        <v/>
      </c>
      <c r="H1858" s="60">
        <f>IF(N(INDEX(lr_m0asof,34))=0,DATE(nr_PlanYear-1,10,1),INDEX(lr_m0asof,34))</f>
        <v/>
      </c>
      <c r="I1858" s="176">
        <f>IF(N(INDEX(lr_m1,34))=0,1,INDEX(lr_m1,34))</f>
        <v/>
      </c>
      <c r="J1858" s="176">
        <f>INDEX(lr_mprior,34)</f>
        <v/>
      </c>
      <c r="K1858" s="176">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76">
        <f>SUMPRODUCT($H$1861:$H$1908,$Q$1861:$Q$1908,$O$1861:$O$1908)/SUMPRODUCT($H$1861:$H$1908,$Q$1861:$Q$1908)</f>
        <v/>
      </c>
      <c r="G1909" s="176">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76">
        <f>IF(N(INDEX(lr_mind,35))=0,1,INDEX(lr_mind,35))</f>
        <v/>
      </c>
      <c r="G1912" s="176">
        <f>IF(N(INDEX(lr_m0,35))=0,1,INDEX(lr_m0,35))</f>
        <v/>
      </c>
      <c r="H1912" s="60">
        <f>IF(N(INDEX(lr_m0asof,35))=0,DATE(nr_PlanYear-1,10,1),INDEX(lr_m0asof,35))</f>
        <v/>
      </c>
      <c r="I1912" s="176">
        <f>IF(N(INDEX(lr_m1,35))=0,1,INDEX(lr_m1,35))</f>
        <v/>
      </c>
      <c r="J1912" s="176">
        <f>INDEX(lr_mprior,35)</f>
        <v/>
      </c>
      <c r="K1912" s="176">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76">
        <f>SUMPRODUCT($H$1915:$H$1962,$Q$1915:$Q$1962,$O$1915:$O$1962)/SUMPRODUCT($H$1915:$H$1962,$Q$1915:$Q$1962)</f>
        <v/>
      </c>
      <c r="G1963" s="176">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76">
        <f>IF(N(INDEX(lr_mind,36))=0,1,INDEX(lr_mind,36))</f>
        <v/>
      </c>
      <c r="G1966" s="176">
        <f>IF(N(INDEX(lr_m0,36))=0,1,INDEX(lr_m0,36))</f>
        <v/>
      </c>
      <c r="H1966" s="60">
        <f>IF(N(INDEX(lr_m0asof,36))=0,DATE(nr_PlanYear-1,10,1),INDEX(lr_m0asof,36))</f>
        <v/>
      </c>
      <c r="I1966" s="176">
        <f>IF(N(INDEX(lr_m1,36))=0,1,INDEX(lr_m1,36))</f>
        <v/>
      </c>
      <c r="J1966" s="176">
        <f>INDEX(lr_mprior,36)</f>
        <v/>
      </c>
      <c r="K1966" s="176">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76">
        <f>SUMPRODUCT($H$1969:$H$2016,$Q$1969:$Q$2016,$O$1969:$O$2016)/SUMPRODUCT($H$1969:$H$2016,$Q$1969:$Q$2016)</f>
        <v/>
      </c>
      <c r="G2017" s="176">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76">
        <f>IF(N(INDEX(lr_mind,37))=0,1,INDEX(lr_mind,37))</f>
        <v/>
      </c>
      <c r="G2020" s="176">
        <f>IF(N(INDEX(lr_m0,37))=0,1,INDEX(lr_m0,37))</f>
        <v/>
      </c>
      <c r="H2020" s="60">
        <f>IF(N(INDEX(lr_m0asof,37))=0,DATE(nr_PlanYear-1,10,1),INDEX(lr_m0asof,37))</f>
        <v/>
      </c>
      <c r="I2020" s="176">
        <f>IF(N(INDEX(lr_m1,37))=0,1,INDEX(lr_m1,37))</f>
        <v/>
      </c>
      <c r="J2020" s="176">
        <f>INDEX(lr_mprior,37)</f>
        <v/>
      </c>
      <c r="K2020" s="176">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76">
        <f>SUMPRODUCT($H$2023:$H$2070,$Q$2023:$Q$2070,$O$2023:$O$2070)/SUMPRODUCT($H$2023:$H$2070,$Q$2023:$Q$2070)</f>
        <v/>
      </c>
      <c r="G2071" s="176">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76">
        <f>IF(N(INDEX(lr_mind,38))=0,1,INDEX(lr_mind,38))</f>
        <v/>
      </c>
      <c r="G2074" s="176">
        <f>IF(N(INDEX(lr_m0,38))=0,1,INDEX(lr_m0,38))</f>
        <v/>
      </c>
      <c r="H2074" s="60">
        <f>IF(N(INDEX(lr_m0asof,38))=0,DATE(nr_PlanYear-1,10,1),INDEX(lr_m0asof,38))</f>
        <v/>
      </c>
      <c r="I2074" s="176">
        <f>IF(N(INDEX(lr_m1,38))=0,1,INDEX(lr_m1,38))</f>
        <v/>
      </c>
      <c r="J2074" s="176">
        <f>INDEX(lr_mprior,38)</f>
        <v/>
      </c>
      <c r="K2074" s="176">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76">
        <f>SUMPRODUCT($H$2077:$H$2124,$Q$2077:$Q$2124,$O$2077:$O$2124)/SUMPRODUCT($H$2077:$H$2124,$Q$2077:$Q$2124)</f>
        <v/>
      </c>
      <c r="G2125" s="176">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76">
        <f>IF(N(INDEX(lr_mind,39))=0,1,INDEX(lr_mind,39))</f>
        <v/>
      </c>
      <c r="G2128" s="176">
        <f>IF(N(INDEX(lr_m0,39))=0,1,INDEX(lr_m0,39))</f>
        <v/>
      </c>
      <c r="H2128" s="60">
        <f>IF(N(INDEX(lr_m0asof,39))=0,DATE(nr_PlanYear-1,10,1),INDEX(lr_m0asof,39))</f>
        <v/>
      </c>
      <c r="I2128" s="176">
        <f>IF(N(INDEX(lr_m1,39))=0,1,INDEX(lr_m1,39))</f>
        <v/>
      </c>
      <c r="J2128" s="176">
        <f>INDEX(lr_mprior,39)</f>
        <v/>
      </c>
      <c r="K2128" s="176">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76">
        <f>SUMPRODUCT($H$2131:$H$2178,$Q$2131:$Q$2178,$O$2131:$O$2178)/SUMPRODUCT($H$2131:$H$2178,$Q$2131:$Q$2178)</f>
        <v/>
      </c>
      <c r="G2179" s="176">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76">
        <f>IF(N(INDEX(lr_mind,40))=0,1,INDEX(lr_mind,40))</f>
        <v/>
      </c>
      <c r="G2182" s="176">
        <f>IF(N(INDEX(lr_m0,40))=0,1,INDEX(lr_m0,40))</f>
        <v/>
      </c>
      <c r="H2182" s="60">
        <f>IF(N(INDEX(lr_m0asof,40))=0,DATE(nr_PlanYear-1,10,1),INDEX(lr_m0asof,40))</f>
        <v/>
      </c>
      <c r="I2182" s="176">
        <f>IF(N(INDEX(lr_m1,40))=0,1,INDEX(lr_m1,40))</f>
        <v/>
      </c>
      <c r="J2182" s="176">
        <f>INDEX(lr_mprior,40)</f>
        <v/>
      </c>
      <c r="K2182" s="176">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76">
        <f>SUMPRODUCT($H$2185:$H$2232,$Q$2185:$Q$2232,$O$2185:$O$2232)/SUMPRODUCT($H$2185:$H$2232,$Q$2185:$Q$2232)</f>
        <v/>
      </c>
      <c r="G2233" s="176">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76">
        <f>IF(N(INDEX(lr_mind,41))=0,1,INDEX(lr_mind,41))</f>
        <v/>
      </c>
      <c r="G2236" s="176">
        <f>IF(N(INDEX(lr_m0,41))=0,1,INDEX(lr_m0,41))</f>
        <v/>
      </c>
      <c r="H2236" s="60">
        <f>IF(N(INDEX(lr_m0asof,41))=0,DATE(nr_PlanYear-1,10,1),INDEX(lr_m0asof,41))</f>
        <v/>
      </c>
      <c r="I2236" s="176">
        <f>IF(N(INDEX(lr_m1,41))=0,1,INDEX(lr_m1,41))</f>
        <v/>
      </c>
      <c r="J2236" s="176">
        <f>INDEX(lr_mprior,41)</f>
        <v/>
      </c>
      <c r="K2236" s="176">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76">
        <f>SUMPRODUCT($H$2239:$H$2286,$Q$2239:$Q$2286,$O$2239:$O$2286)/SUMPRODUCT($H$2239:$H$2286,$Q$2239:$Q$2286)</f>
        <v/>
      </c>
      <c r="G2287" s="176">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76">
        <f>IF(N(INDEX(lr_mind,42))=0,1,INDEX(lr_mind,42))</f>
        <v/>
      </c>
      <c r="G2290" s="176">
        <f>IF(N(INDEX(lr_m0,42))=0,1,INDEX(lr_m0,42))</f>
        <v/>
      </c>
      <c r="H2290" s="60">
        <f>IF(N(INDEX(lr_m0asof,42))=0,DATE(nr_PlanYear-1,10,1),INDEX(lr_m0asof,42))</f>
        <v/>
      </c>
      <c r="I2290" s="176">
        <f>IF(N(INDEX(lr_m1,42))=0,1,INDEX(lr_m1,42))</f>
        <v/>
      </c>
      <c r="J2290" s="176">
        <f>INDEX(lr_mprior,42)</f>
        <v/>
      </c>
      <c r="K2290" s="176">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76">
        <f>SUMPRODUCT($H$2293:$H$2340,$Q$2293:$Q$2340,$O$2293:$O$2340)/SUMPRODUCT($H$2293:$H$2340,$Q$2293:$Q$2340)</f>
        <v/>
      </c>
      <c r="G2341" s="176">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76">
        <f>IF(N(INDEX(lr_mind,43))=0,1,INDEX(lr_mind,43))</f>
        <v/>
      </c>
      <c r="G2344" s="176">
        <f>IF(N(INDEX(lr_m0,43))=0,1,INDEX(lr_m0,43))</f>
        <v/>
      </c>
      <c r="H2344" s="60">
        <f>IF(N(INDEX(lr_m0asof,43))=0,DATE(nr_PlanYear-1,10,1),INDEX(lr_m0asof,43))</f>
        <v/>
      </c>
      <c r="I2344" s="176">
        <f>IF(N(INDEX(lr_m1,43))=0,1,INDEX(lr_m1,43))</f>
        <v/>
      </c>
      <c r="J2344" s="176">
        <f>INDEX(lr_mprior,43)</f>
        <v/>
      </c>
      <c r="K2344" s="176">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76">
        <f>SUMPRODUCT($H$2347:$H$2394,$Q$2347:$Q$2394,$O$2347:$O$2394)/SUMPRODUCT($H$2347:$H$2394,$Q$2347:$Q$2394)</f>
        <v/>
      </c>
      <c r="G2395" s="176">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76">
        <f>IF(N(INDEX(lr_mind,44))=0,1,INDEX(lr_mind,44))</f>
        <v/>
      </c>
      <c r="G2398" s="176">
        <f>IF(N(INDEX(lr_m0,44))=0,1,INDEX(lr_m0,44))</f>
        <v/>
      </c>
      <c r="H2398" s="60">
        <f>IF(N(INDEX(lr_m0asof,44))=0,DATE(nr_PlanYear-1,10,1),INDEX(lr_m0asof,44))</f>
        <v/>
      </c>
      <c r="I2398" s="176">
        <f>IF(N(INDEX(lr_m1,44))=0,1,INDEX(lr_m1,44))</f>
        <v/>
      </c>
      <c r="J2398" s="176">
        <f>INDEX(lr_mprior,44)</f>
        <v/>
      </c>
      <c r="K2398" s="176">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76">
        <f>SUMPRODUCT($H$2401:$H$2448,$Q$2401:$Q$2448,$O$2401:$O$2448)/SUMPRODUCT($H$2401:$H$2448,$Q$2401:$Q$2448)</f>
        <v/>
      </c>
      <c r="G2449" s="176">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76">
        <f>IF(N(INDEX(lr_mind,45))=0,1,INDEX(lr_mind,45))</f>
        <v/>
      </c>
      <c r="G2452" s="176">
        <f>IF(N(INDEX(lr_m0,45))=0,1,INDEX(lr_m0,45))</f>
        <v/>
      </c>
      <c r="H2452" s="60">
        <f>IF(N(INDEX(lr_m0asof,45))=0,DATE(nr_PlanYear-1,10,1),INDEX(lr_m0asof,45))</f>
        <v/>
      </c>
      <c r="I2452" s="176">
        <f>IF(N(INDEX(lr_m1,45))=0,1,INDEX(lr_m1,45))</f>
        <v/>
      </c>
      <c r="J2452" s="176">
        <f>INDEX(lr_mprior,45)</f>
        <v/>
      </c>
      <c r="K2452" s="176">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76">
        <f>SUMPRODUCT($H$2455:$H$2502,$Q$2455:$Q$2502,$O$2455:$O$2502)/SUMPRODUCT($H$2455:$H$2502,$Q$2455:$Q$2502)</f>
        <v/>
      </c>
      <c r="G2503" s="176">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76">
        <f>IF(N(INDEX(lr_mind,46))=0,1,INDEX(lr_mind,46))</f>
        <v/>
      </c>
      <c r="G2506" s="176">
        <f>IF(N(INDEX(lr_m0,46))=0,1,INDEX(lr_m0,46))</f>
        <v/>
      </c>
      <c r="H2506" s="60">
        <f>IF(N(INDEX(lr_m0asof,46))=0,DATE(nr_PlanYear-1,10,1),INDEX(lr_m0asof,46))</f>
        <v/>
      </c>
      <c r="I2506" s="176">
        <f>IF(N(INDEX(lr_m1,46))=0,1,INDEX(lr_m1,46))</f>
        <v/>
      </c>
      <c r="J2506" s="176">
        <f>INDEX(lr_mprior,46)</f>
        <v/>
      </c>
      <c r="K2506" s="176">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76">
        <f>SUMPRODUCT($H$2509:$H$2556,$Q$2509:$Q$2556,$O$2509:$O$2556)/SUMPRODUCT($H$2509:$H$2556,$Q$2509:$Q$2556)</f>
        <v/>
      </c>
      <c r="G2557" s="176">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76">
        <f>IF(N(INDEX(lr_mind,47))=0,1,INDEX(lr_mind,47))</f>
        <v/>
      </c>
      <c r="G2560" s="176">
        <f>IF(N(INDEX(lr_m0,47))=0,1,INDEX(lr_m0,47))</f>
        <v/>
      </c>
      <c r="H2560" s="60">
        <f>IF(N(INDEX(lr_m0asof,47))=0,DATE(nr_PlanYear-1,10,1),INDEX(lr_m0asof,47))</f>
        <v/>
      </c>
      <c r="I2560" s="176">
        <f>IF(N(INDEX(lr_m1,47))=0,1,INDEX(lr_m1,47))</f>
        <v/>
      </c>
      <c r="J2560" s="176">
        <f>INDEX(lr_mprior,47)</f>
        <v/>
      </c>
      <c r="K2560" s="176">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76">
        <f>SUMPRODUCT($H$2563:$H$2610,$Q$2563:$Q$2610,$O$2563:$O$2610)/SUMPRODUCT($H$2563:$H$2610,$Q$2563:$Q$2610)</f>
        <v/>
      </c>
      <c r="G2611" s="176">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76">
        <f>IF(N(INDEX(lr_mind,48))=0,1,INDEX(lr_mind,48))</f>
        <v/>
      </c>
      <c r="G2614" s="176">
        <f>IF(N(INDEX(lr_m0,48))=0,1,INDEX(lr_m0,48))</f>
        <v/>
      </c>
      <c r="H2614" s="60">
        <f>IF(N(INDEX(lr_m0asof,48))=0,DATE(nr_PlanYear-1,10,1),INDEX(lr_m0asof,48))</f>
        <v/>
      </c>
      <c r="I2614" s="176">
        <f>IF(N(INDEX(lr_m1,48))=0,1,INDEX(lr_m1,48))</f>
        <v/>
      </c>
      <c r="J2614" s="176">
        <f>INDEX(lr_mprior,48)</f>
        <v/>
      </c>
      <c r="K2614" s="176">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76">
        <f>SUMPRODUCT($H$2617:$H$2664,$Q$2617:$Q$2664,$O$2617:$O$2664)/SUMPRODUCT($H$2617:$H$2664,$Q$2617:$Q$2664)</f>
        <v/>
      </c>
      <c r="G2665" s="176">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76">
        <f>IF(N(INDEX(lr_mind,49))=0,1,INDEX(lr_mind,49))</f>
        <v/>
      </c>
      <c r="G2668" s="176">
        <f>IF(N(INDEX(lr_m0,49))=0,1,INDEX(lr_m0,49))</f>
        <v/>
      </c>
      <c r="H2668" s="60">
        <f>IF(N(INDEX(lr_m0asof,49))=0,DATE(nr_PlanYear-1,10,1),INDEX(lr_m0asof,49))</f>
        <v/>
      </c>
      <c r="I2668" s="176">
        <f>IF(N(INDEX(lr_m1,49))=0,1,INDEX(lr_m1,49))</f>
        <v/>
      </c>
      <c r="J2668" s="176">
        <f>INDEX(lr_mprior,49)</f>
        <v/>
      </c>
      <c r="K2668" s="176">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76">
        <f>SUMPRODUCT($H$2671:$H$2718,$Q$2671:$Q$2718,$O$2671:$O$2718)/SUMPRODUCT($H$2671:$H$2718,$Q$2671:$Q$2718)</f>
        <v/>
      </c>
      <c r="G2719" s="176">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76">
        <f>IF(N(INDEX(lr_mind,50))=0,1,INDEX(lr_mind,50))</f>
        <v/>
      </c>
      <c r="G2722" s="176">
        <f>IF(N(INDEX(lr_m0,50))=0,1,INDEX(lr_m0,50))</f>
        <v/>
      </c>
      <c r="H2722" s="60">
        <f>IF(N(INDEX(lr_m0asof,50))=0,DATE(nr_PlanYear-1,10,1),INDEX(lr_m0asof,50))</f>
        <v/>
      </c>
      <c r="I2722" s="176">
        <f>IF(N(INDEX(lr_m1,50))=0,1,INDEX(lr_m1,50))</f>
        <v/>
      </c>
      <c r="J2722" s="176">
        <f>INDEX(lr_mprior,50)</f>
        <v/>
      </c>
      <c r="K2722" s="176">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76">
        <f>SUMPRODUCT($H$2725:$H$2772,$Q$2725:$Q$2772,$O$2725:$O$2772)/SUMPRODUCT($H$2725:$H$2772,$Q$2725:$Q$2772)</f>
        <v/>
      </c>
      <c r="G2773" s="176">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76">
        <f>IF(N(INDEX(lr_mind,51))=0,1,INDEX(lr_mind,51))</f>
        <v/>
      </c>
      <c r="G2776" s="176">
        <f>IF(N(INDEX(lr_m0,51))=0,1,INDEX(lr_m0,51))</f>
        <v/>
      </c>
      <c r="H2776" s="60">
        <f>IF(N(INDEX(lr_m0asof,51))=0,DATE(nr_PlanYear-1,10,1),INDEX(lr_m0asof,51))</f>
        <v/>
      </c>
      <c r="I2776" s="176">
        <f>IF(N(INDEX(lr_m1,51))=0,1,INDEX(lr_m1,51))</f>
        <v/>
      </c>
      <c r="J2776" s="176">
        <f>INDEX(lr_mprior,51)</f>
        <v/>
      </c>
      <c r="K2776" s="176">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76">
        <f>SUMPRODUCT($H$2779:$H$2826,$Q$2779:$Q$2826,$O$2779:$O$2826)/SUMPRODUCT($H$2779:$H$2826,$Q$2779:$Q$2826)</f>
        <v/>
      </c>
      <c r="G2827" s="176">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76">
        <f>IF(N(INDEX(lr_mind,52))=0,1,INDEX(lr_mind,52))</f>
        <v/>
      </c>
      <c r="G2830" s="176">
        <f>IF(N(INDEX(lr_m0,52))=0,1,INDEX(lr_m0,52))</f>
        <v/>
      </c>
      <c r="H2830" s="60">
        <f>IF(N(INDEX(lr_m0asof,52))=0,DATE(nr_PlanYear-1,10,1),INDEX(lr_m0asof,52))</f>
        <v/>
      </c>
      <c r="I2830" s="176">
        <f>IF(N(INDEX(lr_m1,52))=0,1,INDEX(lr_m1,52))</f>
        <v/>
      </c>
      <c r="J2830" s="176">
        <f>INDEX(lr_mprior,52)</f>
        <v/>
      </c>
      <c r="K2830" s="176">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76">
        <f>SUMPRODUCT($H$2833:$H$2880,$Q$2833:$Q$2880,$O$2833:$O$2880)/SUMPRODUCT($H$2833:$H$2880,$Q$2833:$Q$2880)</f>
        <v/>
      </c>
      <c r="G2881" s="176">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76">
        <f>IF(N(INDEX(lr_mind,53))=0,1,INDEX(lr_mind,53))</f>
        <v/>
      </c>
      <c r="G2884" s="176">
        <f>IF(N(INDEX(lr_m0,53))=0,1,INDEX(lr_m0,53))</f>
        <v/>
      </c>
      <c r="H2884" s="60">
        <f>IF(N(INDEX(lr_m0asof,53))=0,DATE(nr_PlanYear-1,10,1),INDEX(lr_m0asof,53))</f>
        <v/>
      </c>
      <c r="I2884" s="176">
        <f>IF(N(INDEX(lr_m1,53))=0,1,INDEX(lr_m1,53))</f>
        <v/>
      </c>
      <c r="J2884" s="176">
        <f>INDEX(lr_mprior,53)</f>
        <v/>
      </c>
      <c r="K2884" s="176">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76">
        <f>SUMPRODUCT($H$2887:$H$2934,$Q$2887:$Q$2934,$O$2887:$O$2934)/SUMPRODUCT($H$2887:$H$2934,$Q$2887:$Q$2934)</f>
        <v/>
      </c>
      <c r="G2935" s="176">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76">
        <f>IF(N(INDEX(lr_mind,54))=0,1,INDEX(lr_mind,54))</f>
        <v/>
      </c>
      <c r="G2938" s="176">
        <f>IF(N(INDEX(lr_m0,54))=0,1,INDEX(lr_m0,54))</f>
        <v/>
      </c>
      <c r="H2938" s="60">
        <f>IF(N(INDEX(lr_m0asof,54))=0,DATE(nr_PlanYear-1,10,1),INDEX(lr_m0asof,54))</f>
        <v/>
      </c>
      <c r="I2938" s="176">
        <f>IF(N(INDEX(lr_m1,54))=0,1,INDEX(lr_m1,54))</f>
        <v/>
      </c>
      <c r="J2938" s="176">
        <f>INDEX(lr_mprior,54)</f>
        <v/>
      </c>
      <c r="K2938" s="176">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76">
        <f>SUMPRODUCT($H$2941:$H$2988,$Q$2941:$Q$2988,$O$2941:$O$2988)/SUMPRODUCT($H$2941:$H$2988,$Q$2941:$Q$2988)</f>
        <v/>
      </c>
      <c r="G2989" s="176">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76">
        <f>IF(N(INDEX(lr_mind,55))=0,1,INDEX(lr_mind,55))</f>
        <v/>
      </c>
      <c r="G2992" s="176">
        <f>IF(N(INDEX(lr_m0,55))=0,1,INDEX(lr_m0,55))</f>
        <v/>
      </c>
      <c r="H2992" s="60">
        <f>IF(N(INDEX(lr_m0asof,55))=0,DATE(nr_PlanYear-1,10,1),INDEX(lr_m0asof,55))</f>
        <v/>
      </c>
      <c r="I2992" s="176">
        <f>IF(N(INDEX(lr_m1,55))=0,1,INDEX(lr_m1,55))</f>
        <v/>
      </c>
      <c r="J2992" s="176">
        <f>INDEX(lr_mprior,55)</f>
        <v/>
      </c>
      <c r="K2992" s="176">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76">
        <f>SUMPRODUCT($H$2995:$H$3042,$Q$2995:$Q$3042,$O$2995:$O$3042)/SUMPRODUCT($H$2995:$H$3042,$Q$2995:$Q$3042)</f>
        <v/>
      </c>
      <c r="G3043" s="176">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76">
        <f>IF(N(INDEX(lr_mind,56))=0,1,INDEX(lr_mind,56))</f>
        <v/>
      </c>
      <c r="G3046" s="176">
        <f>IF(N(INDEX(lr_m0,56))=0,1,INDEX(lr_m0,56))</f>
        <v/>
      </c>
      <c r="H3046" s="60">
        <f>IF(N(INDEX(lr_m0asof,56))=0,DATE(nr_PlanYear-1,10,1),INDEX(lr_m0asof,56))</f>
        <v/>
      </c>
      <c r="I3046" s="176">
        <f>IF(N(INDEX(lr_m1,56))=0,1,INDEX(lr_m1,56))</f>
        <v/>
      </c>
      <c r="J3046" s="176">
        <f>INDEX(lr_mprior,56)</f>
        <v/>
      </c>
      <c r="K3046" s="176">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76">
        <f>SUMPRODUCT($H$3049:$H$3096,$Q$3049:$Q$3096,$O$3049:$O$3096)/SUMPRODUCT($H$3049:$H$3096,$Q$3049:$Q$3096)</f>
        <v/>
      </c>
      <c r="G3097" s="176">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76">
        <f>IF(N(INDEX(lr_mind,57))=0,1,INDEX(lr_mind,57))</f>
        <v/>
      </c>
      <c r="G3100" s="176">
        <f>IF(N(INDEX(lr_m0,57))=0,1,INDEX(lr_m0,57))</f>
        <v/>
      </c>
      <c r="H3100" s="60">
        <f>IF(N(INDEX(lr_m0asof,57))=0,DATE(nr_PlanYear-1,10,1),INDEX(lr_m0asof,57))</f>
        <v/>
      </c>
      <c r="I3100" s="176">
        <f>IF(N(INDEX(lr_m1,57))=0,1,INDEX(lr_m1,57))</f>
        <v/>
      </c>
      <c r="J3100" s="176">
        <f>INDEX(lr_mprior,57)</f>
        <v/>
      </c>
      <c r="K3100" s="176">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76">
        <f>SUMPRODUCT($H$3103:$H$3150,$Q$3103:$Q$3150,$O$3103:$O$3150)/SUMPRODUCT($H$3103:$H$3150,$Q$3103:$Q$3150)</f>
        <v/>
      </c>
      <c r="G3151" s="176">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76">
        <f>IF(N(INDEX(lr_mind,58))=0,1,INDEX(lr_mind,58))</f>
        <v/>
      </c>
      <c r="G3154" s="176">
        <f>IF(N(INDEX(lr_m0,58))=0,1,INDEX(lr_m0,58))</f>
        <v/>
      </c>
      <c r="H3154" s="60">
        <f>IF(N(INDEX(lr_m0asof,58))=0,DATE(nr_PlanYear-1,10,1),INDEX(lr_m0asof,58))</f>
        <v/>
      </c>
      <c r="I3154" s="176">
        <f>IF(N(INDEX(lr_m1,58))=0,1,INDEX(lr_m1,58))</f>
        <v/>
      </c>
      <c r="J3154" s="176">
        <f>INDEX(lr_mprior,58)</f>
        <v/>
      </c>
      <c r="K3154" s="176">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76">
        <f>SUMPRODUCT($H$3157:$H$3204,$Q$3157:$Q$3204,$O$3157:$O$3204)/SUMPRODUCT($H$3157:$H$3204,$Q$3157:$Q$3204)</f>
        <v/>
      </c>
      <c r="G3205" s="176">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76">
        <f>IF(N(INDEX(lr_mind,59))=0,1,INDEX(lr_mind,59))</f>
        <v/>
      </c>
      <c r="G3208" s="176">
        <f>IF(N(INDEX(lr_m0,59))=0,1,INDEX(lr_m0,59))</f>
        <v/>
      </c>
      <c r="H3208" s="60">
        <f>IF(N(INDEX(lr_m0asof,59))=0,DATE(nr_PlanYear-1,10,1),INDEX(lr_m0asof,59))</f>
        <v/>
      </c>
      <c r="I3208" s="176">
        <f>IF(N(INDEX(lr_m1,59))=0,1,INDEX(lr_m1,59))</f>
        <v/>
      </c>
      <c r="J3208" s="176">
        <f>INDEX(lr_mprior,59)</f>
        <v/>
      </c>
      <c r="K3208" s="176">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76">
        <f>SUMPRODUCT($H$3211:$H$3258,$Q$3211:$Q$3258,$O$3211:$O$3258)/SUMPRODUCT($H$3211:$H$3258,$Q$3211:$Q$3258)</f>
        <v/>
      </c>
      <c r="G3259" s="176">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76">
        <f>IF(N(INDEX(lr_mind,60))=0,1,INDEX(lr_mind,60))</f>
        <v/>
      </c>
      <c r="G3262" s="176">
        <f>IF(N(INDEX(lr_m0,60))=0,1,INDEX(lr_m0,60))</f>
        <v/>
      </c>
      <c r="H3262" s="60">
        <f>IF(N(INDEX(lr_m0asof,60))=0,DATE(nr_PlanYear-1,10,1),INDEX(lr_m0asof,60))</f>
        <v/>
      </c>
      <c r="I3262" s="176">
        <f>IF(N(INDEX(lr_m1,60))=0,1,INDEX(lr_m1,60))</f>
        <v/>
      </c>
      <c r="J3262" s="176">
        <f>INDEX(lr_mprior,60)</f>
        <v/>
      </c>
      <c r="K3262" s="176">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76">
        <f>SUMPRODUCT($H$3265:$H$3312,$Q$3265:$Q$3312,$O$3265:$O$3312)/SUMPRODUCT($H$3265:$H$3312,$Q$3265:$Q$3312)</f>
        <v/>
      </c>
      <c r="G3313" s="176">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76">
        <f>IF(N(INDEX(lr_mind,61))=0,1,INDEX(lr_mind,61))</f>
        <v/>
      </c>
      <c r="G3316" s="176">
        <f>IF(N(INDEX(lr_m0,61))=0,1,INDEX(lr_m0,61))</f>
        <v/>
      </c>
      <c r="H3316" s="60">
        <f>IF(N(INDEX(lr_m0asof,61))=0,DATE(nr_PlanYear-1,10,1),INDEX(lr_m0asof,61))</f>
        <v/>
      </c>
      <c r="I3316" s="176">
        <f>IF(N(INDEX(lr_m1,61))=0,1,INDEX(lr_m1,61))</f>
        <v/>
      </c>
      <c r="J3316" s="176">
        <f>INDEX(lr_mprior,61)</f>
        <v/>
      </c>
      <c r="K3316" s="176">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76">
        <f>SUMPRODUCT($H$3319:$H$3366,$Q$3319:$Q$3366,$O$3319:$O$3366)/SUMPRODUCT($H$3319:$H$3366,$Q$3319:$Q$3366)</f>
        <v/>
      </c>
      <c r="G3367" s="176">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76">
        <f>IF(N(INDEX(lr_mind,62))=0,1,INDEX(lr_mind,62))</f>
        <v/>
      </c>
      <c r="G3370" s="176">
        <f>IF(N(INDEX(lr_m0,62))=0,1,INDEX(lr_m0,62))</f>
        <v/>
      </c>
      <c r="H3370" s="60">
        <f>IF(N(INDEX(lr_m0asof,62))=0,DATE(nr_PlanYear-1,10,1),INDEX(lr_m0asof,62))</f>
        <v/>
      </c>
      <c r="I3370" s="176">
        <f>IF(N(INDEX(lr_m1,62))=0,1,INDEX(lr_m1,62))</f>
        <v/>
      </c>
      <c r="J3370" s="176">
        <f>INDEX(lr_mprior,62)</f>
        <v/>
      </c>
      <c r="K3370" s="176">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76">
        <f>SUMPRODUCT($H$3373:$H$3420,$Q$3373:$Q$3420,$O$3373:$O$3420)/SUMPRODUCT($H$3373:$H$3420,$Q$3373:$Q$3420)</f>
        <v/>
      </c>
      <c r="G3421" s="176">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76">
        <f>IF(N(INDEX(lr_mind,63))=0,1,INDEX(lr_mind,63))</f>
        <v/>
      </c>
      <c r="G3424" s="176">
        <f>IF(N(INDEX(lr_m0,63))=0,1,INDEX(lr_m0,63))</f>
        <v/>
      </c>
      <c r="H3424" s="60">
        <f>IF(N(INDEX(lr_m0asof,63))=0,DATE(nr_PlanYear-1,10,1),INDEX(lr_m0asof,63))</f>
        <v/>
      </c>
      <c r="I3424" s="176">
        <f>IF(N(INDEX(lr_m1,63))=0,1,INDEX(lr_m1,63))</f>
        <v/>
      </c>
      <c r="J3424" s="176">
        <f>INDEX(lr_mprior,63)</f>
        <v/>
      </c>
      <c r="K3424" s="176">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76">
        <f>SUMPRODUCT($H$3427:$H$3474,$Q$3427:$Q$3474,$O$3427:$O$3474)/SUMPRODUCT($H$3427:$H$3474,$Q$3427:$Q$3474)</f>
        <v/>
      </c>
      <c r="G3475" s="176">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76">
        <f>IF(N(INDEX(lr_mind,64))=0,1,INDEX(lr_mind,64))</f>
        <v/>
      </c>
      <c r="G3478" s="176">
        <f>IF(N(INDEX(lr_m0,64))=0,1,INDEX(lr_m0,64))</f>
        <v/>
      </c>
      <c r="H3478" s="60">
        <f>IF(N(INDEX(lr_m0asof,64))=0,DATE(nr_PlanYear-1,10,1),INDEX(lr_m0asof,64))</f>
        <v/>
      </c>
      <c r="I3478" s="176">
        <f>IF(N(INDEX(lr_m1,64))=0,1,INDEX(lr_m1,64))</f>
        <v/>
      </c>
      <c r="J3478" s="176">
        <f>INDEX(lr_mprior,64)</f>
        <v/>
      </c>
      <c r="K3478" s="176">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76">
        <f>SUMPRODUCT($H$3481:$H$3528,$Q$3481:$Q$3528,$O$3481:$O$3528)/SUMPRODUCT($H$3481:$H$3528,$Q$3481:$Q$3528)</f>
        <v/>
      </c>
      <c r="G3529" s="176">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76">
        <f>IF(N(INDEX(lr_mind,65))=0,1,INDEX(lr_mind,65))</f>
        <v/>
      </c>
      <c r="G3532" s="176">
        <f>IF(N(INDEX(lr_m0,65))=0,1,INDEX(lr_m0,65))</f>
        <v/>
      </c>
      <c r="H3532" s="60">
        <f>IF(N(INDEX(lr_m0asof,65))=0,DATE(nr_PlanYear-1,10,1),INDEX(lr_m0asof,65))</f>
        <v/>
      </c>
      <c r="I3532" s="176">
        <f>IF(N(INDEX(lr_m1,65))=0,1,INDEX(lr_m1,65))</f>
        <v/>
      </c>
      <c r="J3532" s="176">
        <f>INDEX(lr_mprior,65)</f>
        <v/>
      </c>
      <c r="K3532" s="176">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76">
        <f>SUMPRODUCT($H$3535:$H$3582,$Q$3535:$Q$3582,$O$3535:$O$3582)/SUMPRODUCT($H$3535:$H$3582,$Q$3535:$Q$3582)</f>
        <v/>
      </c>
      <c r="G3583" s="176">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76">
        <f>IF(N(INDEX(lr_mind,66))=0,1,INDEX(lr_mind,66))</f>
        <v/>
      </c>
      <c r="G3586" s="176">
        <f>IF(N(INDEX(lr_m0,66))=0,1,INDEX(lr_m0,66))</f>
        <v/>
      </c>
      <c r="H3586" s="60">
        <f>IF(N(INDEX(lr_m0asof,66))=0,DATE(nr_PlanYear-1,10,1),INDEX(lr_m0asof,66))</f>
        <v/>
      </c>
      <c r="I3586" s="176">
        <f>IF(N(INDEX(lr_m1,66))=0,1,INDEX(lr_m1,66))</f>
        <v/>
      </c>
      <c r="J3586" s="176">
        <f>INDEX(lr_mprior,66)</f>
        <v/>
      </c>
      <c r="K3586" s="176">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76">
        <f>SUMPRODUCT($H$3589:$H$3636,$Q$3589:$Q$3636,$O$3589:$O$3636)/SUMPRODUCT($H$3589:$H$3636,$Q$3589:$Q$3636)</f>
        <v/>
      </c>
      <c r="G3637" s="176">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76">
        <f>IF(N(INDEX(lr_mind,67))=0,1,INDEX(lr_mind,67))</f>
        <v/>
      </c>
      <c r="G3640" s="176">
        <f>IF(N(INDEX(lr_m0,67))=0,1,INDEX(lr_m0,67))</f>
        <v/>
      </c>
      <c r="H3640" s="60">
        <f>IF(N(INDEX(lr_m0asof,67))=0,DATE(nr_PlanYear-1,10,1),INDEX(lr_m0asof,67))</f>
        <v/>
      </c>
      <c r="I3640" s="176">
        <f>IF(N(INDEX(lr_m1,67))=0,1,INDEX(lr_m1,67))</f>
        <v/>
      </c>
      <c r="J3640" s="176">
        <f>INDEX(lr_mprior,67)</f>
        <v/>
      </c>
      <c r="K3640" s="176">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76">
        <f>SUMPRODUCT($H$3643:$H$3690,$Q$3643:$Q$3690,$O$3643:$O$3690)/SUMPRODUCT($H$3643:$H$3690,$Q$3643:$Q$3690)</f>
        <v/>
      </c>
      <c r="G3691" s="176">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76">
        <f>IF(N(INDEX(lr_mind,68))=0,1,INDEX(lr_mind,68))</f>
        <v/>
      </c>
      <c r="G3694" s="176">
        <f>IF(N(INDEX(lr_m0,68))=0,1,INDEX(lr_m0,68))</f>
        <v/>
      </c>
      <c r="H3694" s="60">
        <f>IF(N(INDEX(lr_m0asof,68))=0,DATE(nr_PlanYear-1,10,1),INDEX(lr_m0asof,68))</f>
        <v/>
      </c>
      <c r="I3694" s="176">
        <f>IF(N(INDEX(lr_m1,68))=0,1,INDEX(lr_m1,68))</f>
        <v/>
      </c>
      <c r="J3694" s="176">
        <f>INDEX(lr_mprior,68)</f>
        <v/>
      </c>
      <c r="K3694" s="176">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76">
        <f>SUMPRODUCT($H$3697:$H$3744,$Q$3697:$Q$3744,$O$3697:$O$3744)/SUMPRODUCT($H$3697:$H$3744,$Q$3697:$Q$3744)</f>
        <v/>
      </c>
      <c r="G3745" s="176">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76">
        <f>IF(N(INDEX(lr_mind,69))=0,1,INDEX(lr_mind,69))</f>
        <v/>
      </c>
      <c r="G3748" s="176">
        <f>IF(N(INDEX(lr_m0,69))=0,1,INDEX(lr_m0,69))</f>
        <v/>
      </c>
      <c r="H3748" s="60">
        <f>IF(N(INDEX(lr_m0asof,69))=0,DATE(nr_PlanYear-1,10,1),INDEX(lr_m0asof,69))</f>
        <v/>
      </c>
      <c r="I3748" s="176">
        <f>IF(N(INDEX(lr_m1,69))=0,1,INDEX(lr_m1,69))</f>
        <v/>
      </c>
      <c r="J3748" s="176">
        <f>INDEX(lr_mprior,69)</f>
        <v/>
      </c>
      <c r="K3748" s="176">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76">
        <f>SUMPRODUCT($H$3751:$H$3798,$Q$3751:$Q$3798,$O$3751:$O$3798)/SUMPRODUCT($H$3751:$H$3798,$Q$3751:$Q$3798)</f>
        <v/>
      </c>
      <c r="G3799" s="176">
        <f>SUMPRODUCT($H$3751:$H$3798,$R$3751:$R$3798,$O$3751:$O$3798)/SUMPRODUCT($H$3751:$H$3798,$R$3751:$R$3798)</f>
        <v/>
      </c>
    </row>
    <row r="3804">
      <c r="A3804" s="194" t="inlineStr">
        <is>
          <t>Scenario-transformed rate logs (S1..S4), row-aligned with tbl_RateLog</t>
        </is>
      </c>
    </row>
    <row r="3805">
      <c r="A3805" s="113" t="inlineStr">
        <is>
          <t>S1 eff'</t>
        </is>
      </c>
      <c r="B3805" s="113" t="inlineStr">
        <is>
          <t>S1 effmo'</t>
        </is>
      </c>
      <c r="C3805" s="113" t="inlineStr">
        <is>
          <t>S1 ach'</t>
        </is>
      </c>
      <c r="D3805" s="113" t="inlineStr">
        <is>
          <t>S1 r_eff'</t>
        </is>
      </c>
      <c r="E3805" s="113" t="inlineStr">
        <is>
          <t>S1 ln'</t>
        </is>
      </c>
      <c r="F3805" s="113" t="inlineStr">
        <is>
          <t>S1 days'</t>
        </is>
      </c>
      <c r="G3805" s="113" t="inlineStr">
        <is>
          <t>S1 ecnt</t>
        </is>
      </c>
      <c r="H3805" s="113" t="inlineStr">
        <is>
          <t>S1 scnt</t>
        </is>
      </c>
      <c r="I3805" s="113" t="inlineStr">
        <is>
          <t>S1 first'</t>
        </is>
      </c>
      <c r="K3805" s="113" t="inlineStr">
        <is>
          <t>S2 eff'</t>
        </is>
      </c>
      <c r="L3805" s="113" t="inlineStr">
        <is>
          <t>S2 effmo'</t>
        </is>
      </c>
      <c r="M3805" s="113" t="inlineStr">
        <is>
          <t>S2 ach'</t>
        </is>
      </c>
      <c r="N3805" s="113" t="inlineStr">
        <is>
          <t>S2 r_eff'</t>
        </is>
      </c>
      <c r="O3805" s="113" t="inlineStr">
        <is>
          <t>S2 ln'</t>
        </is>
      </c>
      <c r="P3805" s="113" t="inlineStr">
        <is>
          <t>S2 days'</t>
        </is>
      </c>
      <c r="Q3805" s="113" t="inlineStr">
        <is>
          <t>S2 ecnt</t>
        </is>
      </c>
      <c r="R3805" s="113" t="inlineStr">
        <is>
          <t>S2 scnt</t>
        </is>
      </c>
      <c r="S3805" s="113" t="inlineStr">
        <is>
          <t>S2 first'</t>
        </is>
      </c>
      <c r="U3805" s="113" t="inlineStr">
        <is>
          <t>S3 eff'</t>
        </is>
      </c>
      <c r="V3805" s="113" t="inlineStr">
        <is>
          <t>S3 effmo'</t>
        </is>
      </c>
      <c r="W3805" s="113" t="inlineStr">
        <is>
          <t>S3 ach'</t>
        </is>
      </c>
      <c r="X3805" s="113" t="inlineStr">
        <is>
          <t>S3 r_eff'</t>
        </is>
      </c>
      <c r="Y3805" s="113" t="inlineStr">
        <is>
          <t>S3 ln'</t>
        </is>
      </c>
      <c r="Z3805" s="113" t="inlineStr">
        <is>
          <t>S3 days'</t>
        </is>
      </c>
      <c r="AA3805" s="113" t="inlineStr">
        <is>
          <t>S3 ecnt</t>
        </is>
      </c>
      <c r="AB3805" s="113" t="inlineStr">
        <is>
          <t>S3 scnt</t>
        </is>
      </c>
      <c r="AC3805" s="113" t="inlineStr">
        <is>
          <t>S3 first'</t>
        </is>
      </c>
      <c r="AE3805" s="113" t="inlineStr">
        <is>
          <t>S4 eff'</t>
        </is>
      </c>
      <c r="AF3805" s="113" t="inlineStr">
        <is>
          <t>S4 effmo'</t>
        </is>
      </c>
      <c r="AG3805" s="113" t="inlineStr">
        <is>
          <t>S4 ach'</t>
        </is>
      </c>
      <c r="AH3805" s="113" t="inlineStr">
        <is>
          <t>S4 r_eff'</t>
        </is>
      </c>
      <c r="AI3805" s="113" t="inlineStr">
        <is>
          <t>S4 ln'</t>
        </is>
      </c>
      <c r="AJ3805" s="113" t="inlineStr">
        <is>
          <t>S4 days'</t>
        </is>
      </c>
      <c r="AK3805" s="113" t="inlineStr">
        <is>
          <t>S4 ecnt</t>
        </is>
      </c>
      <c r="AL3805" s="113" t="inlineStr">
        <is>
          <t>S4 scnt</t>
        </is>
      </c>
      <c r="AM3805" s="113"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194"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76">
        <f>SUMPRODUCT($H$4051:$H$4098,$Q$4051:$Q$4098,$O$4051:$O$4098)/SUMPRODUCT($H$4051:$H$4098,$Q$4051:$Q$4098)</f>
        <v/>
      </c>
    </row>
    <row r="4102">
      <c r="A4102" s="194"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76">
        <f>SUMPRODUCT($H$4105:$H$4152,$Q$4105:$Q$4152,$O$4105:$O$4152)/SUMPRODUCT($H$4105:$H$4152,$Q$4105:$Q$4152)</f>
        <v/>
      </c>
    </row>
    <row r="4156">
      <c r="A4156" s="194"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76">
        <f>SUMPRODUCT($H$4159:$H$4206,$Q$4159:$Q$4206,$O$4159:$O$4206)/SUMPRODUCT($H$4159:$H$4206,$Q$4159:$Q$4206)</f>
        <v/>
      </c>
    </row>
    <row r="4210">
      <c r="A4210" s="194"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76">
        <f>SUMPRODUCT($H$4213:$H$4260,$Q$4213:$Q$4260,$O$4213:$O$4260)/SUMPRODUCT($H$4213:$H$4260,$Q$4213:$Q$4260)</f>
        <v/>
      </c>
    </row>
    <row r="4266">
      <c r="A4266" s="194" t="inlineStr">
        <is>
          <t>Attribution: planned-row ranks and transformed logs (selected combo)</t>
        </is>
      </c>
    </row>
    <row r="4267">
      <c r="A4267" s="113" t="inlineStr">
        <is>
          <t>rank</t>
        </is>
      </c>
      <c r="B4267" s="113" t="inlineStr">
        <is>
          <t>r_eff mag</t>
        </is>
      </c>
      <c r="C4267" s="113" t="inlineStr">
        <is>
          <t>ln mag</t>
        </is>
      </c>
      <c r="D4267" s="113" t="inlineStr">
        <is>
          <t>eff act</t>
        </is>
      </c>
      <c r="E4267" s="113" t="inlineStr">
        <is>
          <t>effmo act</t>
        </is>
      </c>
      <c r="F4267" s="113" t="inlineStr">
        <is>
          <t>days act</t>
        </is>
      </c>
      <c r="G4267" s="113" t="inlineStr">
        <is>
          <t>ecnt</t>
        </is>
      </c>
      <c r="H4267" s="113" t="inlineStr">
        <is>
          <t>scnt</t>
        </is>
      </c>
      <c r="I4267" s="113"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194"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194"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194" t="inlineStr">
        <is>
          <t>Attribution block 3 — actual written-mod path</t>
        </is>
      </c>
      <c r="M4618" s="176">
        <f>IF(N(att_m0)=0,nr_M0,att_m0)</f>
        <v/>
      </c>
      <c r="N4618" s="60">
        <f>IF(N(att_asof)=0,nr_M0Asof,att_asof)</f>
        <v/>
      </c>
      <c r="O4618" s="176">
        <f>IF(N(att_m1)=0,nr_M1,att_m1)</f>
        <v/>
      </c>
      <c r="P4618" s="176">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76">
        <f>SUMPRODUCT($H$4621:$H$4668,$Q$4621:$Q$4668,$O$4621:$O$4668)/SUMPRODUCT($H$4621:$H$4668,$Q$4621:$Q$4668)</f>
        <v/>
      </c>
    </row>
    <row r="4672">
      <c r="A4672" s="194"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196" t="inlineStr">
        <is>
          <t>w-ec-W0</t>
        </is>
      </c>
      <c r="T4674" s="196" t="inlineStr">
        <is>
          <t>cum</t>
        </is>
      </c>
      <c r="U4674" s="196"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94"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197" t="n">
        <v>1.1024</v>
      </c>
    </row>
    <row r="5">
      <c r="A5" s="20" t="inlineStr">
        <is>
          <t>Oracle E_CY(P-1), monthly convention</t>
        </is>
      </c>
      <c r="B5" s="197" t="n">
        <v>1.0428</v>
      </c>
    </row>
    <row r="6">
      <c r="A6" s="20" t="inlineStr">
        <is>
          <t>Oracle E_CY(P), monthly convention</t>
        </is>
      </c>
      <c r="B6" s="197" t="n">
        <v>1.1101025</v>
      </c>
    </row>
    <row r="7">
      <c r="A7" s="20" t="inlineStr">
        <is>
          <t>Oracle E_CY(P+1), monthly convention</t>
        </is>
      </c>
      <c r="B7" s="197" t="n">
        <v>1.1557975</v>
      </c>
    </row>
    <row r="8">
      <c r="A8" s="20" t="inlineStr">
        <is>
          <t>Oracle CY P earned mod, monthly convention</t>
        </is>
      </c>
      <c r="B8" s="197" t="n">
        <v>0.8659874179431073</v>
      </c>
    </row>
    <row r="9">
      <c r="A9" s="20" t="inlineStr">
        <is>
          <t>Oracle A_rate(P)</t>
        </is>
      </c>
      <c r="B9" s="197" t="n">
        <v>0.9930614515326286</v>
      </c>
    </row>
    <row r="10">
      <c r="A10" s="20" t="inlineStr">
        <is>
          <t>Oracle A_rate(P+1)</t>
        </is>
      </c>
      <c r="B10" s="197" t="n">
        <v>0.9538002980625931</v>
      </c>
    </row>
    <row r="11">
      <c r="A11" s="20" t="inlineStr">
        <is>
          <t>Oracle A_mod(P)</t>
        </is>
      </c>
      <c r="B11" s="197" t="n">
        <v>0.9815385101309201</v>
      </c>
    </row>
    <row r="12">
      <c r="A12" s="20" t="inlineStr">
        <is>
          <t>Oracle CY plan LR(P), monthly convention</t>
        </is>
      </c>
      <c r="B12" s="197" t="n">
        <v>0.6335732374437604</v>
      </c>
    </row>
    <row r="13">
      <c r="A13" s="20" t="inlineStr">
        <is>
          <t>Oracle CY LR(P+1), monthly convention</t>
        </is>
      </c>
      <c r="B13" s="197" t="n">
        <v>0.5948002961422484</v>
      </c>
    </row>
    <row r="14">
      <c r="A14" s="20" t="inlineStr">
        <is>
          <t>Oracle earned chg vs indication</t>
        </is>
      </c>
      <c r="B14" s="197" t="n">
        <v>0.006987028301886911</v>
      </c>
    </row>
    <row r="15">
      <c r="A15" s="20" t="inlineStr">
        <is>
          <t>Oracle CY plan LR(P), continuous closed form</t>
        </is>
      </c>
      <c r="B15" s="197" t="n">
        <v>0.6335640322999739</v>
      </c>
    </row>
    <row r="16">
      <c r="A16" s="20" t="inlineStr">
        <is>
          <t>Oracle E_CY(P), continuous closed form</t>
        </is>
      </c>
      <c r="B16" s="197" t="n">
        <v>1.1101025</v>
      </c>
    </row>
    <row r="17">
      <c r="A17" s="20" t="inlineStr">
        <is>
          <t>Oracle solver required change (worked example)</t>
        </is>
      </c>
      <c r="B17" s="197" t="n">
        <v>0.05000000000000093</v>
      </c>
    </row>
    <row r="19">
      <c r="A19" s="18" t="inlineStr">
        <is>
          <t>Worked-example input fingerprint (expected vs live)</t>
        </is>
      </c>
    </row>
    <row r="20">
      <c r="A20" s="194" t="inlineStr">
        <is>
          <t>Input</t>
        </is>
      </c>
      <c r="B20" s="194" t="inlineStr">
        <is>
          <t>Expected</t>
        </is>
      </c>
      <c r="C20" s="194" t="inlineStr">
        <is>
          <t>Live</t>
        </is>
      </c>
      <c r="D20" s="194"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2026-07-30T23:52:26Z</dcterms:created>
  <dcterms:modified xsi:type="dcterms:W3CDTF">2026-07-30T23:52:29Z</dcterms:modified>
</cp:coreProperties>
</file>